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540" yWindow="-120" windowWidth="28380" windowHeight="16440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62913"/>
</workbook>
</file>

<file path=xl/calcChain.xml><?xml version="1.0" encoding="utf-8"?>
<calcChain xmlns="http://schemas.openxmlformats.org/spreadsheetml/2006/main">
  <c r="KK2" i="32" l="1"/>
  <c r="KK25" i="32"/>
  <c r="KE35" i="32" l="1"/>
  <c r="KK36" i="32"/>
  <c r="KK12" i="32" l="1"/>
  <c r="KK20" i="32" l="1"/>
  <c r="KM15" i="32" l="1"/>
  <c r="KM24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M21" i="32" l="1"/>
  <c r="KO16" i="32" l="1"/>
  <c r="KO4" i="32" s="1"/>
  <c r="KO2" i="32" s="1"/>
  <c r="KK18" i="32"/>
  <c r="KI7" i="32" l="1"/>
  <c r="KK34" i="32" l="1"/>
  <c r="KM14" i="32" l="1"/>
  <c r="KK35" i="32" l="1"/>
  <c r="KK31" i="32"/>
  <c r="KE30" i="32"/>
  <c r="KM35" i="32" l="1"/>
  <c r="KG32" i="32"/>
  <c r="KI21" i="32"/>
  <c r="KI18" i="32"/>
  <c r="KK30" i="32"/>
  <c r="KK32" i="32"/>
  <c r="KK33" i="32"/>
  <c r="KI5" i="32" l="1"/>
  <c r="KI2" i="32" s="1"/>
  <c r="KM5" i="32"/>
  <c r="KG30" i="32"/>
  <c r="KM2" i="32" l="1"/>
  <c r="KD24" i="32"/>
  <c r="KG20" i="32" l="1"/>
  <c r="KE23" i="32"/>
  <c r="KG16" i="32" l="1"/>
  <c r="KE11" i="32" l="1"/>
  <c r="KG17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KN5" authorId="1" shapeId="0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KL15" authorId="0" shapeId="0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<sst xmlns="http://schemas.openxmlformats.org/spreadsheetml/2006/main" count="7552" uniqueCount="3110">
  <si>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</si>
  <si>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</si>
  <si>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</si>
  <si>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</si>
  <si>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</si>
  <si>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</si>
  <si>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</si>
  <si>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</si>
  <si>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</si>
  <si>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</si>
  <si>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</si>
  <si>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</si>
  <si>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</si>
  <si>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</si>
  <si>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</si>
  <si>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</si>
  <si>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</si>
  <si>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</si>
  <si>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</si>
  <si>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</si>
  <si>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</si>
  <si>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</si>
  <si>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</si>
  <si>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</si>
  <si>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</si>
  <si>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</si>
  <si>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</si>
  <si>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</si>
  <si>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</si>
  <si>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</si>
  <si>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</si>
  <si>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</si>
  <si>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</si>
  <si>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</si>
  <si>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</si>
  <si>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</si>
  <si>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</si>
  <si>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</si>
  <si>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</si>
  <si>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</si>
  <si>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</si>
  <si>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</si>
  <si>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</si>
  <si>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</si>
  <si>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</si>
  <si>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</si>
  <si>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</si>
  <si>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</si>
  <si>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</si>
  <si>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</si>
  <si>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</si>
  <si>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</si>
  <si>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</si>
  <si>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</si>
  <si>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</si>
  <si>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</si>
  <si>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</si>
  <si>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</si>
  <si>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</si>
  <si>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</si>
  <si>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</si>
  <si>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</si>
  <si>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</si>
  <si>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</si>
  <si>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</si>
  <si>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</si>
  <si>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</si>
  <si>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</si>
  <si>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</si>
  <si>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</si>
  <si>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</si>
  <si>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</si>
  <si>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</si>
  <si>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</si>
  <si>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</si>
  <si>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</si>
  <si>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</si>
  <si>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</si>
  <si>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</si>
  <si>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</si>
  <si>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</si>
  <si>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</si>
  <si>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</si>
  <si>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</si>
  <si>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</si>
  <si>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</si>
  <si>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</si>
  <si>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</si>
  <si>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</si>
  <si>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</si>
  <si>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</si>
  <si>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</si>
  <si>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</si>
  <si>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</si>
  <si>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</si>
  <si>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</si>
  <si>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</si>
  <si>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</si>
  <si>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</si>
  <si>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</si>
  <si>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</si>
  <si>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</si>
  <si>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</si>
  <si>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</si>
  <si>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</si>
  <si>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</si>
  <si>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</si>
  <si>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</si>
  <si>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</si>
  <si>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</si>
  <si>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</si>
  <si>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</si>
  <si>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</si>
  <si>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</si>
  <si>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</si>
  <si>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</si>
  <si>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</si>
  <si>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</si>
  <si>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</si>
  <si>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</si>
  <si>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</si>
  <si>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</si>
  <si>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</si>
  <si>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</si>
  <si>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</si>
  <si>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</si>
  <si>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</si>
  <si>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</si>
  <si>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</si>
  <si>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</si>
  <si>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</si>
  <si>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</si>
  <si>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</si>
  <si>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</si>
  <si>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</si>
  <si>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</si>
  <si>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</si>
  <si>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</si>
  <si>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</si>
  <si>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</si>
  <si>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</si>
  <si>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</si>
  <si>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</si>
  <si>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</si>
  <si>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</si>
  <si>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</si>
  <si>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</si>
  <si>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</si>
  <si>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</si>
  <si>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</si>
  <si>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</si>
  <si>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</si>
  <si>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</si>
  <si>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</si>
  <si>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</si>
  <si>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</si>
  <si>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</si>
  <si>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</si>
  <si>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</si>
  <si>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</si>
  <si>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</si>
  <si>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</si>
  <si>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</si>
  <si>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</si>
  <si>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</si>
  <si>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</si>
  <si>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</si>
  <si>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</si>
  <si>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</si>
  <si>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</si>
  <si>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</si>
  <si>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</si>
  <si>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</si>
  <si>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</si>
  <si>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</si>
  <si>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</si>
  <si>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</si>
  <si>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</si>
  <si>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</si>
  <si>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</si>
  <si>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</si>
  <si>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</si>
  <si>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</si>
  <si>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</si>
  <si>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</si>
  <si>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</si>
  <si>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</si>
  <si>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</si>
  <si>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</si>
  <si>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</si>
  <si>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</si>
  <si>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</si>
  <si>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</si>
  <si>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</si>
  <si>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</si>
  <si>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</si>
  <si>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</si>
  <si>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</si>
  <si>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</si>
  <si>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</si>
  <si>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</si>
  <si>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</si>
  <si>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</si>
  <si>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</si>
  <si>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</si>
  <si>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</si>
  <si>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</si>
  <si>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</si>
  <si>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</si>
  <si>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</si>
  <si>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</si>
  <si>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</si>
  <si>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</si>
  <si>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</si>
  <si>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</si>
  <si>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</si>
  <si>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</si>
  <si>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</si>
  <si>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</si>
  <si>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</si>
  <si>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</si>
  <si>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</si>
  <si>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</si>
  <si>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</si>
  <si>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</si>
  <si>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</si>
  <si>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</si>
  <si>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</si>
  <si>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</si>
  <si>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</si>
  <si>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</si>
  <si>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</si>
  <si>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</si>
  <si>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</si>
  <si>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</si>
  <si>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</si>
  <si>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</si>
  <si>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</si>
  <si>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</si>
  <si>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</si>
  <si>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</si>
  <si>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</si>
  <si>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</si>
  <si>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</si>
  <si>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</si>
  <si>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</si>
  <si>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</si>
  <si>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</si>
  <si>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</si>
  <si>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</si>
  <si>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</si>
  <si>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</si>
  <si>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</si>
  <si>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</si>
  <si>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</si>
  <si>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</si>
  <si>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</si>
  <si>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</si>
  <si>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</si>
  <si>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</si>
  <si>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</si>
  <si>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</si>
  <si>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</si>
  <si>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</si>
  <si>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</si>
  <si>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</si>
  <si>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</si>
  <si>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</si>
  <si>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</si>
  <si>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</si>
  <si>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</si>
  <si>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</si>
  <si>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</si>
  <si>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</si>
  <si>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</si>
  <si>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</si>
  <si>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</si>
  <si>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</si>
  <si>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</si>
  <si>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</si>
  <si>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</si>
  <si>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</si>
  <si>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</si>
  <si>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</si>
  <si>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</si>
  <si>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</si>
  <si>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</si>
  <si>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</si>
  <si>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</si>
  <si>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</si>
  <si>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</si>
  <si>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</si>
  <si>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</si>
  <si>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</si>
  <si>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</si>
  <si>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</si>
  <si>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</si>
  <si>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</si>
  <si>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</si>
  <si>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</si>
  <si>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</si>
  <si>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</si>
  <si>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</si>
  <si>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</si>
  <si>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</si>
  <si>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</si>
  <si>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</si>
  <si>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</si>
  <si>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</si>
  <si>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</si>
  <si>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</si>
  <si>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</si>
  <si>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</si>
  <si>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</si>
  <si>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</si>
  <si>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</si>
  <si>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</si>
  <si>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</si>
  <si>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</si>
  <si>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</si>
  <si>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</si>
  <si>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</si>
  <si>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</si>
  <si>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</si>
  <si>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</si>
  <si>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</si>
  <si>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</si>
  <si>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</si>
  <si>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</si>
  <si>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</si>
  <si>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</si>
  <si>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</si>
  <si>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</si>
  <si>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</si>
  <si>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</si>
  <si>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</si>
  <si>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</si>
  <si>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</si>
  <si>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</si>
  <si>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</si>
  <si>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</si>
  <si>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</si>
  <si>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</si>
  <si>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</si>
  <si>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</si>
  <si>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</si>
  <si>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</si>
  <si>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</si>
  <si>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</si>
  <si>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</si>
  <si>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</si>
  <si>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</si>
  <si>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</si>
  <si>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</si>
  <si>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</si>
  <si>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</si>
  <si>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</si>
  <si>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</si>
  <si>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</si>
  <si>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</si>
  <si>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</si>
  <si>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</si>
  <si>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</si>
  <si>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</si>
  <si>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</si>
  <si>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</si>
  <si>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</si>
  <si>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</si>
  <si>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</si>
  <si>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</si>
  <si>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</si>
  <si>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</si>
  <si>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</si>
  <si>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</si>
  <si>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</si>
  <si>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</si>
  <si>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</si>
  <si>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</si>
  <si>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</si>
  <si>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</si>
  <si>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</si>
  <si>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</si>
  <si>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</si>
  <si>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</si>
  <si>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</si>
  <si>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</si>
  <si>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</si>
  <si>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</si>
  <si>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</si>
  <si>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</si>
  <si>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</si>
  <si>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</si>
  <si>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</si>
  <si>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</si>
  <si>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</si>
  <si>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</si>
  <si>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</si>
  <si>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</si>
  <si>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</si>
  <si>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</si>
  <si>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</si>
  <si>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</si>
  <si>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</si>
  <si>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</si>
  <si>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</si>
  <si>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</si>
  <si>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</si>
  <si>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</si>
  <si>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</si>
  <si>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</si>
  <si>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</si>
  <si>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</si>
  <si>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</si>
  <si>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</si>
  <si>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</si>
  <si>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</si>
  <si>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</si>
  <si>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</si>
  <si>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</si>
  <si>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</si>
  <si>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</si>
  <si>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</si>
  <si>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</si>
  <si>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</si>
  <si>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</si>
  <si>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</si>
  <si>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</si>
  <si>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</si>
  <si>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</si>
  <si>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</si>
  <si>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</si>
  <si>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</si>
  <si>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</si>
  <si>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</si>
  <si>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</si>
  <si>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</si>
  <si>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</si>
  <si>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</si>
  <si>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</si>
  <si>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</si>
  <si>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</si>
  <si>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</si>
  <si>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</si>
  <si>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</si>
  <si>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</si>
  <si>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</si>
  <si>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</si>
  <si>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</si>
  <si>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</si>
  <si>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</si>
  <si>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</si>
  <si>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</si>
  <si>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</si>
  <si>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</si>
  <si>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</si>
  <si>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</si>
  <si>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</si>
  <si>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</si>
  <si>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</si>
  <si>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</si>
  <si>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</si>
  <si>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</si>
  <si>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</si>
  <si>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</si>
  <si>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</si>
  <si>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</si>
  <si>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</si>
  <si>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</si>
  <si>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</si>
  <si>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</si>
  <si>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</si>
  <si>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</si>
  <si>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</si>
  <si>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</si>
  <si>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</si>
  <si>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</si>
  <si>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</si>
  <si>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</si>
  <si>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</si>
  <si>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</si>
  <si>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</si>
  <si>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</si>
  <si>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</si>
  <si>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</si>
  <si>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</si>
  <si>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</si>
  <si>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</si>
  <si>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</si>
  <si>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</si>
  <si>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</si>
  <si>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</si>
  <si>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</si>
  <si>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</si>
  <si>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</si>
  <si>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</si>
  <si>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</si>
  <si>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</si>
  <si>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</si>
  <si>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</si>
  <si>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</si>
  <si>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</si>
  <si>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</si>
  <si>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</si>
  <si>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</si>
  <si>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</si>
  <si>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</si>
  <si>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</si>
  <si>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</si>
  <si>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</si>
  <si>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</si>
  <si>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</si>
  <si>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</si>
  <si>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</si>
  <si>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</si>
  <si>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</si>
  <si>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</si>
  <si>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</si>
  <si>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</si>
  <si>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</si>
  <si>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</si>
  <si>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</si>
  <si>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</si>
  <si>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</si>
  <si>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</si>
  <si>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</si>
  <si>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</si>
  <si>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</si>
  <si>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</si>
  <si>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</si>
  <si>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</si>
  <si>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</si>
  <si>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</si>
  <si>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</si>
  <si>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</si>
  <si>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</si>
  <si>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</si>
  <si>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</si>
  <si>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</si>
  <si>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</si>
  <si>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</si>
  <si>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</si>
  <si>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</si>
  <si>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</si>
  <si>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</si>
  <si>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</si>
  <si>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</si>
  <si>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</si>
  <si>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</si>
  <si>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</si>
  <si>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</si>
  <si>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</si>
  <si>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</si>
  <si>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</si>
  <si>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</si>
  <si>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</si>
  <si>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</si>
  <si>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</si>
  <si>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</si>
  <si>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</si>
  <si>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</si>
  <si>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</si>
  <si>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</si>
  <si>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</si>
  <si>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</si>
  <si>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</si>
  <si>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</si>
  <si>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</si>
  <si>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</si>
  <si>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</si>
  <si>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</si>
  <si>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</si>
  <si>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</si>
  <si>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</si>
  <si>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</si>
  <si>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</si>
  <si>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</si>
  <si>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</si>
  <si>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</si>
  <si>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</si>
  <si>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</si>
  <si>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</si>
  <si>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</si>
  <si>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</si>
  <si>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</si>
  <si>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</si>
  <si>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</si>
  <si>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</si>
  <si>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</si>
  <si>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</si>
  <si>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</si>
  <si>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</si>
  <si>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</si>
  <si>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</si>
  <si>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</si>
  <si>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</si>
  <si>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</si>
  <si>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</si>
  <si>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</si>
  <si>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</si>
  <si>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</si>
  <si>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</si>
  <si>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</si>
  <si>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</si>
  <si>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</si>
  <si>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</si>
  <si>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</si>
  <si>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</si>
  <si>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</si>
  <si>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</si>
  <si>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</si>
  <si>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</si>
  <si>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</si>
  <si>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</si>
  <si>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</si>
  <si>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</si>
  <si>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</si>
  <si>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</si>
  <si>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</si>
  <si>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</si>
  <si>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</si>
  <si>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</si>
  <si>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</si>
  <si>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</si>
  <si>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</si>
  <si>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</si>
  <si>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</si>
  <si>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</si>
  <si>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</si>
  <si>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</si>
  <si>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</si>
  <si>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</si>
  <si>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</si>
  <si>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</si>
  <si>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</si>
  <si>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</si>
  <si>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</si>
  <si>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</si>
  <si>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</si>
  <si>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</si>
  <si>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</si>
  <si>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</si>
  <si>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</si>
  <si>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</si>
  <si>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</si>
  <si>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</si>
  <si>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</si>
  <si>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</si>
  <si>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</si>
  <si>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</si>
  <si>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</si>
  <si>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</si>
  <si>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</si>
  <si>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</si>
  <si>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</si>
  <si>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</si>
  <si>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</si>
  <si>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</si>
  <si>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</si>
  <si>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</si>
  <si>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</si>
  <si>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</si>
  <si>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</si>
  <si>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</si>
  <si>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</si>
  <si>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</si>
  <si>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</si>
  <si>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</si>
  <si>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</si>
  <si>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</si>
  <si>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</si>
  <si>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</si>
  <si>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</si>
  <si>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</si>
  <si>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</si>
  <si>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</si>
  <si>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</si>
  <si>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</si>
  <si>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</si>
  <si>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</si>
  <si>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</si>
  <si>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</si>
  <si>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</si>
  <si>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</si>
  <si>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</si>
  <si>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</si>
  <si>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</si>
  <si>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</si>
  <si>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</si>
  <si>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</si>
  <si>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</si>
  <si>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</si>
  <si>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</si>
  <si>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</si>
  <si>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</si>
  <si>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</si>
  <si>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</si>
  <si>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</si>
  <si>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</si>
  <si>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</si>
  <si>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</si>
  <si>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</si>
  <si>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</si>
  <si>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</si>
  <si>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</si>
  <si>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</si>
  <si>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</si>
  <si>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</si>
  <si>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</si>
  <si>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</si>
  <si>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</si>
  <si>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</si>
  <si>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</si>
  <si>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</si>
  <si>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</si>
  <si>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</si>
  <si>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</si>
  <si>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</si>
  <si>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</si>
  <si>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</si>
  <si>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</si>
  <si>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</si>
  <si>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</si>
  <si>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</si>
  <si>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</si>
  <si>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</si>
  <si>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</si>
  <si>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</si>
  <si>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</si>
  <si>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</si>
  <si>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</si>
  <si>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</si>
  <si>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</si>
  <si>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</si>
  <si>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</si>
  <si>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</si>
  <si>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</si>
  <si>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</si>
  <si>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</si>
  <si>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</si>
  <si>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</si>
  <si>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</si>
  <si>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</si>
  <si>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</si>
  <si>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</si>
  <si>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</si>
  <si>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</si>
  <si>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</si>
  <si>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</si>
  <si>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</si>
  <si>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</si>
  <si>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</si>
  <si>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</si>
  <si>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</si>
  <si>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</si>
  <si>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</si>
  <si>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</si>
  <si>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</si>
  <si>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</si>
  <si>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</si>
  <si>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</si>
  <si>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</si>
  <si>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</si>
  <si>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</si>
  <si>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</si>
  <si>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</si>
  <si>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</si>
  <si>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</si>
  <si>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</si>
  <si>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</si>
  <si>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</si>
  <si>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</si>
  <si>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</si>
  <si>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</si>
  <si>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</si>
  <si>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</si>
  <si>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</si>
  <si>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</si>
  <si>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</si>
  <si>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</si>
  <si>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</si>
  <si>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</si>
  <si>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</si>
  <si>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</si>
  <si>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</si>
  <si>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</si>
  <si>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</si>
  <si>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</si>
  <si>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</si>
  <si>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</si>
  <si>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</si>
  <si>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</si>
  <si>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</si>
  <si>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</si>
  <si>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</si>
  <si>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</si>
  <si>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</si>
  <si>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</si>
  <si>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</si>
  <si>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</si>
  <si>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</si>
  <si>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</si>
  <si>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</si>
  <si>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</si>
  <si>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</si>
  <si>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</si>
  <si>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</si>
  <si>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</si>
  <si>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</si>
  <si>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</si>
  <si>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</si>
  <si>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</si>
  <si>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</si>
  <si>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</si>
  <si>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</si>
  <si>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</si>
  <si>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</si>
  <si>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</si>
  <si>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</si>
  <si>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</si>
  <si>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</si>
  <si>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</si>
  <si>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</si>
  <si>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</si>
  <si>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</si>
  <si>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</si>
  <si>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</si>
  <si>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</si>
  <si>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</si>
  <si>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</si>
  <si>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</si>
  <si>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</si>
  <si>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</si>
  <si>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</si>
  <si>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</si>
  <si>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</si>
  <si>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</si>
  <si>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</si>
  <si>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</si>
  <si>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</si>
  <si>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</si>
  <si>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</si>
  <si>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</si>
  <si>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</si>
  <si>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</si>
  <si>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</si>
  <si>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</si>
  <si>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</si>
  <si>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</si>
  <si>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</si>
  <si>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</si>
  <si>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</si>
  <si>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</si>
  <si>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</si>
  <si>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</si>
  <si>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</si>
  <si>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</si>
  <si>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</si>
  <si>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</si>
  <si>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</si>
  <si>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</si>
  <si>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</si>
  <si>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</si>
  <si>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</si>
  <si>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</si>
  <si>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</si>
  <si>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</si>
  <si>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</si>
  <si>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</si>
  <si>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</si>
  <si>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</si>
  <si>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</si>
  <si>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</si>
  <si>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</si>
  <si>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</si>
  <si>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</si>
  <si>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</si>
  <si>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</si>
  <si>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</si>
  <si>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</si>
  <si>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</si>
  <si>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</si>
  <si>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</si>
  <si>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</si>
  <si>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</si>
  <si>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</si>
  <si>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</si>
  <si>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</si>
  <si>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</si>
  <si>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</si>
  <si>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</si>
  <si>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</si>
  <si>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</si>
  <si>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</si>
  <si>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</si>
  <si>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</si>
  <si>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</si>
  <si>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</si>
  <si>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</si>
  <si>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</si>
  <si>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</si>
  <si>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</si>
  <si>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</si>
  <si>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</si>
  <si>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</si>
  <si>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</si>
  <si>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</si>
  <si>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</si>
  <si>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</si>
  <si>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</si>
  <si>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</si>
  <si>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</si>
  <si>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</si>
  <si>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</si>
  <si>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</si>
  <si>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</si>
  <si>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</si>
  <si>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</si>
  <si>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</si>
  <si>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</si>
  <si>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</si>
  <si>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</si>
  <si>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</si>
  <si>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</si>
  <si>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</si>
  <si>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</si>
  <si>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</si>
  <si>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</si>
  <si>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</si>
  <si>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</si>
  <si>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</si>
  <si>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</si>
  <si>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</si>
  <si>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</si>
  <si>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</si>
  <si>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</si>
  <si>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</si>
  <si>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</si>
  <si>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</si>
  <si>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</si>
  <si>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</si>
  <si>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</si>
  <si>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</si>
  <si>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</si>
  <si>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</si>
  <si>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</si>
  <si>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</si>
  <si>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</si>
  <si>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</si>
  <si>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</si>
  <si>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</si>
  <si>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</si>
  <si>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</si>
  <si>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</si>
  <si>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</si>
  <si>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</si>
  <si>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</si>
  <si>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</si>
  <si>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</si>
  <si>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</si>
  <si>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</si>
  <si>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</si>
  <si>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</si>
  <si>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</si>
  <si>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</si>
  <si>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</si>
  <si>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</si>
  <si>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</si>
  <si>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</si>
  <si>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</si>
  <si>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</si>
  <si>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</si>
  <si>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</si>
  <si>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</si>
  <si>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</si>
  <si>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</si>
  <si>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</si>
  <si>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</si>
  <si>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</si>
  <si>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</si>
  <si>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</si>
  <si>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</si>
  <si>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</si>
  <si>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</si>
  <si>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</si>
  <si>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</si>
  <si>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</si>
  <si>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</si>
  <si>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</si>
  <si>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</si>
  <si>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</si>
  <si>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</si>
  <si>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</si>
  <si>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</si>
  <si>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</si>
  <si>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</si>
  <si>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</si>
  <si>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</si>
  <si>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</si>
  <si>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</si>
  <si>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</si>
  <si>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</si>
  <si>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</si>
  <si>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</si>
  <si>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</si>
  <si>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</si>
  <si>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</si>
  <si>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</si>
  <si>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</si>
  <si>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</si>
  <si>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</si>
  <si>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</si>
  <si>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</si>
  <si>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</si>
  <si>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</si>
  <si>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</si>
  <si>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</si>
  <si>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</si>
  <si>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</si>
  <si>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</si>
  <si>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</si>
  <si>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</si>
  <si>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</si>
  <si>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</si>
  <si>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</si>
  <si>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</si>
  <si>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</si>
  <si>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</si>
  <si>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</si>
  <si>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</si>
  <si>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</si>
  <si>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</si>
  <si>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</si>
  <si>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</si>
  <si>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</si>
  <si>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</si>
  <si>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</si>
  <si>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</si>
  <si>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</si>
  <si>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</si>
  <si>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</si>
  <si>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</si>
  <si>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</si>
  <si>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</si>
  <si>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</si>
  <si>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</si>
  <si>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</si>
  <si>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</si>
  <si>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</si>
  <si>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</si>
  <si>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</si>
  <si>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</si>
  <si>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</si>
  <si>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</si>
  <si>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</si>
  <si>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</si>
  <si>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</si>
  <si>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</si>
  <si>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</si>
  <si>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</si>
  <si>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</si>
  <si>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</si>
  <si>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</si>
  <si>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</si>
  <si>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</si>
  <si>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</si>
  <si>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</si>
  <si>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</si>
  <si>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</si>
  <si>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</si>
  <si>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</si>
  <si>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</si>
  <si>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</si>
  <si>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</si>
  <si>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</si>
  <si>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</si>
  <si>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</si>
  <si>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</si>
  <si>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</si>
  <si>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</si>
  <si>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</si>
  <si>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</si>
  <si>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</si>
  <si>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</si>
  <si>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</si>
  <si>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</si>
  <si>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</si>
  <si>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</si>
  <si>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</si>
  <si>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</si>
  <si>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</si>
  <si>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</si>
  <si>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</si>
  <si>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</si>
  <si>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</si>
  <si>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</si>
  <si>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</si>
  <si>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</si>
  <si>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</si>
  <si>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</si>
  <si>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</si>
  <si>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</si>
  <si>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</si>
  <si>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</si>
  <si>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</si>
  <si>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</si>
  <si>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</si>
  <si>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</si>
  <si>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</si>
  <si>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</si>
  <si>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</si>
  <si>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</si>
  <si>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</si>
  <si>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</si>
  <si>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</si>
  <si>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</si>
  <si>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</si>
  <si>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</si>
  <si>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</si>
  <si>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</si>
  <si>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</si>
  <si>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</si>
  <si>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</si>
  <si>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</si>
  <si>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</si>
  <si>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</si>
  <si>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</si>
  <si>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</si>
  <si>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</si>
  <si>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</si>
  <si>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</si>
  <si>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</si>
  <si>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</si>
  <si>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</si>
  <si>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</si>
  <si>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</si>
  <si>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</si>
  <si>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</si>
  <si>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</si>
  <si>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</si>
  <si>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</si>
  <si>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</si>
  <si>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</si>
  <si>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</si>
  <si>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</si>
  <si>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</si>
  <si>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</si>
  <si>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</si>
  <si>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</si>
  <si>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</si>
  <si>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</si>
  <si>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</si>
  <si>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</si>
  <si>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</si>
  <si>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</si>
  <si>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</si>
  <si>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</si>
  <si>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</si>
  <si>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</si>
  <si>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</si>
  <si>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</si>
  <si>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</si>
  <si>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</si>
  <si>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</si>
  <si>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</si>
  <si>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</si>
  <si>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</si>
  <si>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</si>
  <si>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</si>
  <si>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</si>
  <si>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</si>
  <si>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</si>
  <si>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</si>
  <si>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</si>
  <si>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</si>
  <si>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</si>
  <si>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</si>
  <si>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</si>
  <si>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</si>
  <si>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</si>
  <si>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</si>
  <si>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</si>
  <si>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</si>
  <si>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</si>
  <si>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</si>
  <si>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</si>
  <si>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</si>
  <si>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</si>
  <si>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</si>
  <si>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</si>
  <si>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</si>
  <si>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</si>
  <si>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</si>
  <si>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</si>
  <si>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</si>
  <si>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</si>
  <si>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</si>
  <si>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</si>
  <si>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</si>
  <si>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</si>
  <si>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</si>
  <si>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</si>
  <si>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</si>
  <si>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</si>
  <si>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</si>
  <si>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</si>
  <si>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</si>
  <si>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</si>
  <si>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</si>
  <si>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</si>
  <si>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</si>
  <si>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</si>
  <si>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</si>
  <si>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</si>
  <si>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</si>
  <si>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</si>
  <si>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</si>
  <si>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</si>
  <si>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</si>
  <si>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</si>
  <si>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</si>
  <si>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</si>
  <si>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</si>
  <si>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</si>
  <si>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</si>
  <si>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</si>
  <si>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</si>
  <si>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</si>
  <si>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</si>
  <si>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</si>
  <si>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</si>
  <si>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</si>
  <si>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</si>
  <si>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</si>
  <si>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</si>
  <si>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</si>
  <si>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</si>
  <si>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</si>
  <si>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</si>
  <si>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</si>
  <si>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</si>
  <si>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</si>
  <si>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</si>
  <si>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</si>
  <si>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</si>
  <si>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</si>
  <si>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</si>
  <si>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</si>
  <si>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</si>
  <si>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</si>
  <si>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</si>
  <si>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</si>
  <si>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</si>
  <si>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</si>
  <si>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</si>
  <si>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</si>
  <si>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</si>
  <si>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</si>
  <si>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</si>
  <si>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</si>
  <si>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</si>
  <si>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</si>
  <si>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</si>
  <si>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</si>
  <si>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</si>
  <si>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</si>
  <si>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</si>
  <si>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</si>
  <si>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</si>
  <si>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</si>
  <si>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</si>
  <si>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</si>
  <si>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</si>
  <si>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</si>
  <si>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</si>
  <si>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</si>
  <si>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</si>
  <si>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</si>
  <si>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</si>
  <si>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</si>
  <si>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</si>
  <si>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</si>
  <si>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</si>
  <si>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</si>
  <si>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</si>
  <si>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</si>
  <si>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</si>
  <si>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</si>
  <si>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</si>
  <si>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</si>
  <si>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</si>
  <si>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</si>
  <si>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</si>
  <si>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</si>
  <si>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</si>
  <si>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</si>
  <si>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</si>
  <si>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</si>
  <si>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</si>
  <si>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</si>
  <si>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</si>
  <si>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</si>
  <si>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</si>
  <si>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</si>
  <si>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</si>
  <si>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</si>
  <si>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</si>
  <si>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</si>
  <si>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</si>
  <si>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</si>
  <si>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</si>
  <si>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</si>
  <si>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</si>
  <si>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</si>
  <si>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</si>
  <si>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</si>
  <si>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</si>
  <si>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</si>
  <si>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</si>
  <si>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</si>
  <si>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</si>
  <si>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</si>
  <si>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</si>
  <si>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</si>
  <si>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</si>
  <si>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</si>
  <si>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</si>
  <si>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</si>
  <si>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</si>
  <si>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</si>
  <si>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</si>
  <si>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</si>
  <si>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</si>
  <si>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</si>
  <si>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</si>
  <si>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</si>
  <si>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</si>
  <si>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</si>
  <si>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</si>
  <si>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</si>
  <si>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</si>
  <si>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</si>
  <si>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</si>
  <si>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</si>
  <si>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</si>
  <si>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</si>
  <si>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</si>
  <si>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</si>
  <si>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</si>
  <si>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</si>
  <si>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</si>
  <si>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</si>
  <si>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</si>
  <si>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</si>
  <si>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</si>
  <si>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</si>
  <si>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</si>
  <si>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</si>
  <si>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</si>
  <si>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</si>
  <si>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</si>
  <si>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</si>
  <si>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</si>
  <si>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</si>
  <si>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</si>
  <si>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</si>
  <si>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</si>
  <si>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</si>
  <si>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</si>
  <si>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</si>
  <si>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</si>
  <si>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</si>
  <si>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</si>
  <si>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</si>
  <si>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</si>
  <si>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</si>
  <si>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</si>
  <si>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</si>
  <si>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</si>
  <si>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</si>
  <si>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</si>
  <si>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</si>
  <si>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</si>
  <si>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</si>
  <si>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</si>
  <si>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</si>
  <si>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</si>
  <si>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</si>
  <si>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</si>
  <si>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</si>
  <si>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</si>
  <si>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</si>
  <si>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</si>
  <si>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</si>
  <si>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</si>
  <si>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</si>
  <si>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</si>
  <si>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</si>
  <si>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</si>
  <si>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</si>
  <si>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</si>
  <si>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</si>
  <si>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</si>
  <si>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</si>
  <si>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</si>
  <si>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</si>
  <si>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</si>
  <si>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</si>
  <si>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</si>
  <si>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</si>
  <si>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</si>
  <si>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</si>
  <si>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</si>
  <si>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</si>
  <si>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</si>
  <si>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</si>
  <si>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</si>
  <si>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</si>
  <si>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</si>
  <si>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</si>
  <si>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</si>
  <si>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</si>
  <si>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</si>
  <si>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</si>
  <si>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</si>
  <si>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</si>
  <si>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</si>
  <si>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</si>
  <si>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</si>
  <si>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</si>
  <si>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</si>
  <si>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</si>
  <si>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</si>
  <si>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</si>
  <si>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</si>
  <si>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</si>
  <si>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</si>
  <si>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</si>
  <si>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</si>
  <si>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</si>
  <si>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</si>
  <si>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</si>
  <si>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</si>
  <si>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</si>
  <si>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</si>
  <si>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</si>
  <si>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</si>
  <si>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</si>
  <si>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</si>
  <si>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</si>
  <si>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</si>
  <si>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</si>
  <si>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</si>
  <si>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</si>
  <si>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</si>
  <si>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</si>
  <si>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</si>
  <si>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</si>
  <si>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</si>
  <si>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</si>
  <si>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</si>
  <si>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</si>
  <si>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</si>
  <si>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</si>
  <si>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</si>
  <si>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</si>
  <si>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</si>
  <si>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</si>
  <si>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</si>
  <si>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</si>
  <si>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</si>
  <si>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</si>
  <si>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</si>
  <si>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</si>
  <si>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</si>
  <si>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</si>
  <si>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</si>
  <si>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</si>
  <si>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</si>
  <si>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</si>
  <si>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</si>
  <si>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</si>
  <si>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</si>
  <si>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</si>
  <si>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</si>
  <si>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</si>
  <si>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</si>
  <si>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</si>
  <si>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</si>
  <si>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</si>
  <si>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</si>
  <si>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</si>
  <si>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</si>
  <si>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</si>
  <si>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</si>
  <si>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</si>
  <si>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</si>
  <si>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</si>
  <si>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</si>
  <si>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</si>
  <si>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</si>
  <si>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</si>
  <si>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</si>
  <si>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</si>
  <si>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</si>
  <si>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</si>
  <si>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</si>
  <si>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</si>
  <si>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</si>
  <si>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</si>
  <si>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</si>
  <si>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</si>
  <si>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</si>
  <si>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</si>
  <si>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</si>
  <si>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</si>
  <si>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</si>
  <si>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</si>
  <si>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</si>
  <si>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</si>
  <si>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</si>
  <si>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</si>
  <si>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</si>
  <si>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</si>
  <si>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</si>
  <si>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</si>
  <si>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</si>
  <si>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</si>
  <si>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</si>
  <si>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</si>
  <si>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</si>
  <si>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</si>
  <si>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</si>
  <si>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</si>
  <si>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</si>
  <si>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</si>
  <si>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</si>
  <si>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</si>
  <si>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</si>
  <si>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</si>
  <si>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</si>
  <si>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</si>
  <si>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</si>
  <si>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</si>
  <si>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</si>
  <si>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</si>
  <si>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</si>
  <si>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</si>
  <si>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</si>
  <si>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</si>
  <si>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</si>
  <si>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</si>
  <si>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</si>
  <si>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</si>
  <si>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</si>
  <si>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</si>
  <si>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</si>
  <si>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</si>
  <si>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</si>
  <si>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</si>
  <si>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</si>
  <si>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</si>
  <si>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</si>
  <si>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</si>
  <si>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</si>
  <si>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</si>
  <si>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</si>
  <si>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</si>
  <si>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</si>
  <si>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</si>
  <si>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</si>
  <si>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</si>
  <si>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</si>
  <si>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</si>
  <si>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</si>
  <si>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</si>
  <si>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</si>
  <si>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</si>
  <si>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</si>
  <si>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</si>
  <si>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</si>
  <si>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</si>
  <si>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</si>
  <si>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</si>
  <si>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</si>
  <si>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</si>
  <si>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</si>
  <si>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</si>
  <si>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</si>
  <si>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</si>
  <si>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</si>
  <si>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</si>
  <si>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</si>
  <si>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</si>
  <si>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</si>
  <si>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</si>
  <si>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</si>
  <si>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</si>
  <si>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</si>
  <si>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</si>
  <si>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</si>
  <si>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</si>
  <si>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</si>
  <si>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</si>
  <si>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</si>
  <si>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</si>
  <si>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</si>
  <si>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</si>
  <si>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</si>
  <si>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</si>
  <si>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</si>
  <si>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</si>
  <si>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</si>
  <si>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</si>
  <si>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</si>
  <si>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</si>
  <si>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</si>
  <si>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</si>
  <si>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</si>
  <si>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</si>
  <si>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</si>
  <si>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</si>
  <si>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</si>
  <si>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</si>
  <si>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</si>
  <si>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</si>
  <si>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</si>
  <si>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</si>
  <si>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</si>
  <si>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</si>
  <si>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</si>
  <si>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</si>
  <si>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</si>
  <si>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</si>
  <si>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</si>
  <si>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</si>
  <si>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</si>
  <si>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</si>
  <si>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</si>
  <si>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</si>
  <si>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</si>
  <si>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</si>
  <si>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</si>
  <si>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</si>
  <si>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</si>
  <si>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</si>
  <si>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</si>
  <si>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</si>
  <si>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</si>
  <si>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</si>
  <si>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</si>
  <si>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</si>
  <si>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</si>
  <si>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</si>
  <si>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</si>
  <si>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</si>
  <si>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</si>
  <si>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</si>
  <si>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</si>
  <si>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</si>
  <si>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</si>
  <si>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</si>
  <si>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</si>
  <si>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</si>
  <si>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</si>
  <si>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</si>
  <si>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</si>
  <si>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</si>
  <si>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</si>
  <si>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</si>
  <si>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</si>
  <si>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</si>
  <si>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</si>
  <si>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</si>
  <si>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</si>
  <si>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</si>
  <si>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</si>
  <si>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</si>
  <si>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</si>
  <si>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</si>
  <si>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</si>
  <si>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</si>
  <si>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</si>
  <si>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</si>
  <si>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</si>
  <si>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</si>
  <si>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</si>
  <si>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</si>
  <si>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</si>
  <si>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</si>
  <si>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</si>
  <si>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</si>
  <si>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</si>
  <si>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</si>
  <si>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</si>
  <si>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</si>
  <si>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</si>
  <si>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</si>
  <si>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</si>
  <si>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</si>
  <si>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</si>
  <si>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</si>
  <si>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</si>
  <si>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</si>
  <si>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</si>
  <si>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</si>
  <si>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</si>
  <si>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</si>
  <si>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</si>
  <si>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</si>
  <si>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</si>
  <si>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</si>
  <si>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</si>
  <si>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</si>
  <si>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</si>
  <si>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</si>
  <si>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</si>
  <si>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</si>
  <si>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</si>
  <si>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</si>
  <si>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</si>
  <si>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</si>
  <si>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</si>
  <si>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</si>
  <si>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</si>
  <si>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</si>
  <si>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</si>
  <si>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</si>
  <si>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</si>
  <si>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</si>
  <si>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</si>
  <si>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</si>
  <si>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</si>
  <si>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</si>
  <si>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</si>
  <si>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</si>
  <si>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</si>
  <si>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</si>
  <si>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</si>
  <si>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</si>
  <si>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</si>
  <si>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</si>
  <si>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</si>
  <si>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</si>
  <si>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</si>
  <si>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</si>
  <si>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</si>
  <si>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</si>
  <si>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</si>
  <si>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</si>
  <si>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</si>
  <si>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</si>
  <si>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</si>
  <si>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</si>
  <si>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</si>
  <si>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</si>
  <si>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</si>
  <si>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</si>
  <si>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</si>
  <si>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</si>
  <si>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</si>
  <si>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</si>
  <si>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</si>
  <si>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</si>
  <si>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</si>
  <si>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</si>
  <si>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</si>
  <si>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</si>
  <si>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</si>
  <si>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</si>
  <si>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</si>
  <si>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</si>
  <si>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</si>
  <si>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</si>
  <si>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</si>
  <si>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</si>
  <si>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</si>
  <si>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</si>
  <si>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</si>
  <si>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</si>
  <si>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</si>
  <si>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</si>
  <si>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</si>
  <si>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</si>
  <si>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</si>
  <si>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</si>
  <si>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</si>
  <si>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</si>
  <si>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</si>
  <si>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</si>
  <si>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</si>
  <si>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</si>
  <si>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</si>
  <si>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</si>
  <si>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</si>
  <si>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</si>
  <si>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</si>
  <si>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</si>
  <si>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</si>
  <si>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</si>
  <si>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</si>
  <si>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</si>
  <si>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</si>
  <si>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</si>
  <si>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</si>
  <si>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</si>
  <si>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</si>
  <si>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</si>
  <si>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</si>
  <si>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</si>
  <si>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</si>
  <si>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</si>
  <si>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</si>
  <si>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</si>
  <si>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</si>
  <si>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</si>
  <si>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</si>
  <si>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</si>
  <si>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</si>
  <si>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</si>
  <si>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</si>
  <si>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</si>
  <si>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</si>
  <si>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</si>
  <si>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</si>
  <si>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</si>
  <si>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</si>
  <si>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</si>
  <si>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</si>
  <si>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</si>
  <si>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</si>
  <si>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</si>
  <si>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</si>
  <si>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</si>
  <si>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</si>
  <si>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</si>
  <si>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</si>
  <si>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</si>
  <si>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</si>
  <si>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</si>
  <si>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</si>
  <si>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</si>
  <si>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</si>
  <si>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</si>
  <si>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</si>
  <si>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</si>
  <si>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</si>
  <si>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</si>
  <si>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</si>
  <si>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</si>
  <si>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</si>
  <si>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</si>
  <si>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</si>
  <si>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</si>
  <si>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</si>
  <si>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</si>
  <si>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</si>
  <si>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</si>
  <si>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</si>
  <si>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</si>
  <si>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</si>
  <si>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</si>
  <si>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</si>
  <si>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</si>
  <si>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</si>
  <si>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</si>
  <si>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</si>
  <si>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</si>
  <si>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</si>
  <si>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</si>
  <si>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</si>
  <si>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</si>
  <si>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</si>
  <si>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</si>
  <si>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</si>
  <si>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</si>
  <si>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</si>
  <si>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</si>
  <si>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</si>
  <si>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</si>
  <si>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</si>
  <si>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</si>
  <si>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</si>
  <si>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</si>
  <si>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</si>
  <si>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</si>
  <si>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</si>
  <si>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</si>
  <si>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</si>
  <si>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</si>
  <si>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</si>
  <si>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</si>
  <si>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</si>
  <si>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</si>
  <si>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</si>
  <si>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</si>
  <si>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</si>
  <si>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</si>
  <si>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</si>
  <si>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</si>
  <si>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</si>
  <si>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</si>
  <si>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</si>
  <si>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</si>
  <si>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</si>
  <si>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</si>
  <si>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</si>
  <si>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</si>
  <si>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</si>
  <si>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</si>
  <si>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</si>
  <si>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</si>
  <si>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</si>
  <si>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</si>
  <si>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</si>
  <si>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</si>
  <si>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</si>
  <si>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</si>
  <si>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</si>
  <si>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</si>
  <si>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</si>
  <si>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</si>
  <si>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</si>
  <si>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</si>
  <si>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</si>
  <si>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</si>
  <si>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</si>
  <si>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</si>
  <si>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</si>
  <si>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</si>
  <si>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</si>
  <si>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</si>
  <si>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</si>
  <si>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</si>
  <si>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</si>
  <si>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</si>
  <si>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</si>
  <si>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</si>
  <si>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</si>
  <si>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</si>
  <si>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</si>
  <si>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</si>
  <si>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</si>
  <si>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</si>
  <si>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</si>
  <si>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</si>
  <si>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</si>
  <si>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</si>
  <si>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</si>
  <si>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</si>
  <si>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</si>
  <si>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</si>
  <si>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</si>
  <si>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</si>
  <si>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</si>
  <si>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</si>
  <si>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</si>
  <si>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</si>
  <si>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</si>
  <si>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</si>
  <si>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</si>
  <si>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</si>
  <si>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</si>
  <si>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</si>
  <si>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</si>
  <si>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</si>
  <si>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</si>
  <si>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</si>
  <si>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</si>
  <si>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</si>
  <si>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</si>
  <si>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</si>
  <si>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</si>
  <si>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</si>
  <si>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</si>
  <si>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</si>
  <si>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</si>
  <si>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</si>
  <si>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</si>
  <si>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</si>
  <si>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</si>
  <si>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</si>
  <si>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</si>
  <si>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</si>
  <si>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</si>
  <si>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</si>
  <si>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</si>
  <si>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</si>
  <si>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</si>
  <si>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</si>
  <si>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</si>
  <si>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</si>
  <si>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</si>
  <si>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</si>
  <si>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</si>
  <si>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</si>
  <si>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</si>
  <si>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</si>
  <si>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</si>
  <si>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</si>
  <si>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</si>
  <si>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</si>
  <si>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</si>
  <si>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</si>
  <si>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</si>
  <si>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</si>
  <si>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</si>
  <si>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</si>
  <si>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</si>
  <si>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</si>
  <si>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</si>
  <si>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</si>
  <si>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</si>
  <si>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</si>
  <si>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</si>
  <si>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</si>
  <si>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</si>
  <si>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</si>
  <si>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</si>
  <si>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</si>
  <si>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</si>
  <si>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</si>
  <si>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</si>
  <si>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</si>
  <si>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</si>
  <si>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</si>
  <si>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</si>
  <si>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</si>
  <si>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</si>
  <si>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</si>
  <si>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</si>
  <si>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</si>
  <si>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</si>
  <si>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</si>
  <si>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</si>
  <si>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</si>
  <si>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</si>
  <si>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</si>
  <si>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</si>
  <si>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</si>
  <si>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</si>
  <si>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</si>
  <si>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</si>
  <si>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</si>
  <si>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</si>
  <si>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</si>
  <si>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</si>
  <si>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</si>
  <si>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</si>
  <si>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</si>
  <si>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</si>
  <si>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</si>
  <si>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</si>
  <si>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</si>
  <si>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</si>
  <si>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</si>
  <si>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</si>
  <si>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</si>
  <si>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</si>
  <si>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</si>
  <si>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</si>
  <si>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</si>
  <si>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</si>
  <si>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</si>
  <si>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</si>
  <si>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</si>
  <si>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</si>
  <si>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</si>
  <si>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</si>
  <si>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</si>
  <si>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</si>
  <si>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</si>
  <si>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</si>
  <si>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</si>
  <si>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</si>
  <si>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</si>
  <si>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</si>
  <si>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</si>
  <si>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</si>
  <si>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</si>
  <si>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</si>
  <si>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</si>
  <si>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</si>
  <si>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</si>
  <si>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</si>
  <si>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</si>
  <si>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</si>
  <si>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</si>
  <si>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</si>
  <si>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</si>
  <si>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</si>
  <si>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</si>
  <si>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</si>
  <si>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</si>
  <si>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</si>
  <si>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</si>
  <si>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</si>
  <si>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</si>
  <si>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</si>
  <si>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</si>
  <si>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</si>
  <si>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</si>
  <si>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</si>
  <si>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</si>
  <si>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</si>
  <si>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</si>
  <si>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</si>
  <si>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</si>
  <si>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</si>
  <si>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</si>
  <si>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</si>
  <si>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</si>
  <si>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</si>
  <si>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</si>
  <si>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</si>
  <si>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</si>
  <si>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</si>
  <si>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</si>
  <si>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</si>
  <si>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</si>
  <si>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</si>
  <si>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</si>
  <si>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</si>
  <si>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</si>
  <si>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</si>
  <si>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</si>
  <si>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</si>
  <si>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</si>
  <si>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</si>
  <si>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</si>
  <si>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</si>
  <si>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</si>
  <si>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</si>
  <si>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</si>
  <si>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</si>
  <si>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</si>
  <si>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</si>
  <si>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</si>
  <si>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</si>
  <si>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</si>
  <si>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</si>
  <si>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</si>
  <si>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</si>
  <si>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</si>
  <si>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</si>
  <si>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</si>
  <si>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</si>
  <si>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</si>
  <si>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</si>
  <si>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</si>
  <si>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</si>
  <si>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</si>
  <si>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</si>
  <si>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</si>
  <si>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</si>
  <si>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</si>
  <si>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</si>
  <si>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</si>
  <si>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</si>
  <si>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</si>
  <si>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</si>
  <si>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</si>
  <si>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</si>
  <si>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</si>
  <si>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</si>
  <si>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</si>
  <si>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</si>
  <si>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</si>
  <si>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</si>
  <si>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</si>
  <si>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</si>
  <si>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</si>
  <si>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</si>
  <si>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</si>
  <si>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</si>
  <si>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</si>
  <si>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</si>
  <si>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</si>
  <si>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</si>
  <si>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</si>
  <si>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</si>
  <si>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</si>
  <si>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</si>
  <si>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</si>
  <si>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</si>
  <si>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</si>
  <si>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</si>
  <si>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</si>
  <si>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</si>
  <si>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</si>
  <si>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</si>
  <si>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</si>
  <si>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</si>
  <si>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</si>
  <si>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</si>
  <si>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</si>
  <si>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</si>
  <si>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</si>
  <si>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</si>
  <si>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</si>
  <si>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</si>
  <si>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</si>
  <si>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</si>
  <si>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</si>
  <si>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</si>
  <si>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</si>
  <si>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</si>
  <si>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</si>
  <si>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</si>
  <si>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</si>
  <si>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</si>
  <si>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</si>
  <si>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</si>
  <si>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</si>
  <si>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</si>
  <si>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</si>
  <si>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</si>
  <si>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</si>
  <si>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</si>
  <si>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</si>
  <si>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</si>
  <si>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</si>
  <si>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</si>
  <si>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</si>
  <si>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</si>
  <si>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</si>
  <si>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</si>
  <si>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</si>
  <si>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</si>
  <si>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</si>
  <si>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</si>
  <si>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</si>
  <si>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</si>
  <si>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</si>
  <si>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</si>
  <si>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</si>
  <si>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</si>
  <si>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</si>
  <si>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</si>
  <si>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</si>
  <si>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</si>
  <si>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</si>
  <si>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</si>
  <si>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</si>
  <si>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</si>
  <si>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</si>
  <si>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</si>
  <si>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</si>
  <si>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</si>
  <si>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</si>
  <si>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</si>
  <si>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</si>
  <si>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</si>
  <si>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</si>
  <si>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</si>
  <si>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</si>
  <si>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</si>
  <si>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</si>
  <si>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</si>
  <si>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</si>
  <si>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</si>
  <si>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</si>
  <si>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</si>
  <si>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</si>
  <si>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</si>
  <si>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</si>
  <si>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</si>
  <si>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</si>
  <si>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</si>
  <si>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</si>
  <si>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</si>
  <si>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</si>
  <si>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</si>
  <si>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</si>
  <si>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</si>
  <si>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</si>
  <si>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</si>
  <si>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</si>
  <si>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</si>
  <si>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</si>
  <si>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</si>
  <si>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</si>
  <si>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</si>
  <si>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</si>
  <si>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</si>
  <si>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</si>
  <si>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</si>
  <si>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</si>
  <si>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</si>
  <si>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</si>
  <si>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</si>
  <si>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</si>
  <si>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</si>
  <si>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</si>
  <si>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</si>
  <si>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</si>
  <si>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</si>
  <si>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</si>
  <si>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</si>
  <si>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</si>
  <si>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</si>
  <si>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</si>
  <si>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</si>
  <si>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</si>
  <si>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</si>
  <si>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</si>
  <si>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</si>
  <si>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</si>
  <si>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</si>
  <si>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</si>
  <si>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</si>
  <si>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</si>
  <si>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</si>
  <si>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</si>
  <si>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</si>
  <si>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</si>
  <si>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</si>
  <si>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</si>
  <si>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</si>
  <si>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</si>
  <si>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</si>
  <si>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</si>
  <si>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</si>
  <si>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</si>
  <si>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</si>
  <si>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</si>
  <si>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</si>
  <si>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</si>
  <si>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</si>
  <si>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</si>
  <si>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</si>
  <si>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</si>
  <si>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</si>
  <si>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</si>
  <si>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</si>
  <si>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</si>
  <si>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</si>
  <si>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</si>
  <si>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</si>
  <si>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</si>
  <si>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</si>
  <si>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</si>
  <si>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</si>
  <si>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</si>
  <si>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</si>
  <si>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</si>
  <si>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</si>
  <si>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</si>
  <si>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</si>
  <si>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</si>
  <si>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</si>
  <si>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</si>
  <si>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</si>
  <si>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</si>
  <si>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</si>
  <si>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</si>
  <si>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</si>
  <si>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</si>
  <si>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</si>
  <si>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</si>
  <si>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</si>
  <si>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</si>
  <si>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</si>
  <si>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</si>
  <si>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</si>
  <si>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</si>
  <si>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</si>
  <si>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</si>
  <si>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</si>
  <si>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</si>
  <si>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</si>
  <si>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</si>
  <si>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</si>
  <si>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</si>
  <si>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</si>
  <si>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</si>
  <si>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</si>
  <si>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</si>
  <si>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</si>
  <si>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</si>
  <si>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</si>
  <si>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</si>
  <si>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</si>
  <si>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</si>
  <si>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</si>
  <si>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</si>
  <si>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</si>
  <si>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</si>
  <si>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</si>
  <si>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</si>
  <si>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</si>
  <si>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</si>
  <si>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</si>
  <si>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</si>
  <si>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</si>
  <si>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</si>
  <si>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</si>
  <si>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</si>
  <si>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</si>
  <si>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</si>
  <si>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</si>
  <si>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</si>
  <si>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</si>
  <si>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</si>
  <si>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</si>
  <si>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</si>
  <si>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</si>
  <si>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</si>
  <si>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</si>
  <si>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</si>
  <si>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</si>
  <si>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</si>
  <si>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</si>
  <si>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</si>
  <si>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</si>
  <si>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</si>
  <si>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</si>
  <si>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</si>
  <si>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</si>
  <si>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</si>
  <si>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</si>
  <si>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</si>
  <si>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</si>
  <si>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</si>
  <si>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</si>
  <si>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</si>
  <si>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</si>
  <si>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</si>
  <si>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</si>
  <si>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</si>
  <si>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</si>
  <si>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</si>
  <si>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</si>
  <si>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</si>
  <si>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</si>
  <si>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</si>
  <si>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</si>
  <si>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</si>
  <si>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</si>
  <si>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</si>
  <si>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</si>
  <si>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</si>
  <si>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</si>
  <si>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</si>
  <si>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</si>
  <si>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</si>
  <si>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</si>
  <si>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</si>
  <si>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</si>
  <si>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</si>
  <si>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</si>
  <si>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</si>
  <si>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</si>
  <si>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</si>
  <si>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</si>
  <si>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</si>
  <si>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</si>
  <si>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</si>
  <si>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</si>
  <si>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</si>
  <si>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</si>
  <si>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</si>
  <si>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</si>
  <si>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</si>
  <si>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</si>
  <si>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</si>
  <si>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</si>
  <si>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</si>
  <si>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</si>
  <si>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</si>
  <si>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</si>
  <si>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</si>
  <si>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</si>
  <si>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</si>
  <si>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</si>
  <si>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</si>
  <si>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</si>
  <si>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</si>
  <si>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</si>
  <si>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</si>
  <si>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</si>
  <si>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</si>
  <si>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</si>
  <si>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</si>
  <si>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</si>
  <si>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</si>
  <si>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</si>
  <si>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</si>
  <si>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</si>
  <si>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</si>
  <si>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</si>
  <si>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</si>
  <si>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</si>
  <si>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</si>
  <si>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</si>
  <si>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</si>
  <si>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</si>
  <si>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</si>
  <si>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</si>
  <si>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</si>
  <si>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</si>
  <si>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</si>
  <si>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</si>
  <si>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</si>
  <si>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</si>
  <si>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</si>
  <si>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</si>
  <si>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</si>
  <si>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</si>
  <si>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</si>
  <si>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</si>
  <si>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</si>
  <si>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</si>
  <si>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</si>
  <si>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</si>
  <si>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</si>
  <si>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</si>
  <si>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</si>
  <si>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</si>
  <si>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</si>
  <si>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</si>
  <si>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</si>
  <si>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</si>
  <si>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</si>
  <si>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</si>
  <si>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</si>
  <si>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</si>
  <si>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</si>
  <si>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</si>
  <si>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</si>
  <si>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</si>
  <si>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</si>
  <si>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</si>
  <si>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</si>
  <si>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</si>
  <si>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</si>
  <si>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</si>
  <si>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</si>
  <si>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</si>
  <si>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</si>
  <si>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</si>
  <si>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</si>
  <si>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</si>
  <si>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</si>
  <si>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</si>
  <si>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</si>
  <si>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</si>
  <si>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</si>
  <si>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</si>
  <si>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</si>
  <si>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</si>
  <si>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</si>
  <si>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</si>
  <si>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</si>
  <si>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</si>
  <si>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</si>
  <si>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</si>
  <si>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</si>
  <si>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</si>
  <si>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</si>
  <si>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</si>
  <si>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</si>
  <si>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</si>
  <si>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</si>
  <si>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</si>
  <si>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</si>
  <si>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</si>
  <si>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</si>
  <si>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</si>
  <si>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</si>
  <si>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</si>
  <si>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</si>
  <si>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</si>
  <si>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</si>
  <si>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</si>
  <si>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</si>
  <si>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</si>
  <si>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</si>
  <si>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</si>
  <si>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</si>
  <si>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</si>
  <si>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</si>
  <si>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</si>
  <si>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</si>
  <si>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</si>
  <si>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</si>
  <si>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</si>
  <si>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</si>
  <si>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</si>
  <si>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</si>
  <si>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</si>
  <si>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</si>
  <si>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</si>
  <si>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</si>
  <si>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</si>
  <si>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</si>
  <si>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</si>
  <si>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</si>
  <si>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</si>
  <si>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</si>
  <si>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</si>
  <si>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</si>
  <si>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</si>
  <si>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</si>
  <si>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</si>
  <si>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</si>
  <si>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</si>
  <si>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</si>
  <si>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</si>
  <si>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</si>
  <si>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</si>
  <si>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</si>
  <si>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</si>
  <si>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</si>
  <si>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</si>
  <si>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</si>
  <si>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</si>
  <si>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</si>
  <si>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</si>
  <si>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</si>
  <si>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</si>
  <si>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</si>
  <si>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</si>
  <si>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</si>
  <si>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</si>
  <si>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</si>
  <si>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</si>
  <si>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</si>
  <si>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</si>
  <si>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</si>
  <si>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</si>
  <si>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</si>
  <si>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</si>
  <si>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</si>
  <si>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</si>
  <si>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</si>
  <si>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</si>
  <si>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</si>
  <si>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</si>
  <si>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</si>
  <si>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</si>
  <si>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</si>
  <si>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</si>
  <si>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</si>
  <si>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</si>
  <si>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</si>
  <si>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</si>
  <si>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</si>
  <si>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</si>
  <si>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</si>
  <si>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</si>
  <si>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</si>
  <si>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</si>
  <si>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</si>
  <si>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</si>
  <si>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</si>
  <si>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</si>
  <si>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</si>
  <si>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</si>
  <si>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</si>
  <si>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</si>
  <si>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</si>
  <si>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</si>
  <si>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</si>
  <si>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</si>
  <si>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</si>
  <si>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</si>
  <si>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</si>
  <si>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</si>
  <si>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</si>
  <si>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</si>
  <si>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</si>
  <si>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</si>
  <si>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</si>
  <si>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</si>
  <si>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</si>
  <si>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</si>
  <si>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</si>
  <si>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</si>
  <si>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</si>
  <si>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</si>
  <si>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</si>
  <si>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</si>
  <si>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</si>
  <si>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</si>
  <si>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</si>
  <si>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</si>
  <si>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</si>
  <si>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</si>
  <si>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</si>
  <si>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</si>
  <si>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</si>
  <si>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</si>
  <si>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</si>
  <si>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</si>
  <si>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</si>
  <si>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</si>
  <si>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</si>
  <si>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</si>
  <si>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</si>
  <si>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</si>
  <si>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</si>
  <si>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</si>
  <si>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</si>
  <si>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</si>
  <si>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</si>
  <si>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</si>
  <si>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</si>
  <si>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</si>
  <si>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</si>
  <si>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</si>
  <si>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</si>
  <si>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</si>
  <si>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</si>
  <si>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</si>
  <si>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</si>
  <si>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</si>
  <si>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</si>
  <si>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</si>
  <si>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</si>
  <si>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</si>
  <si>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</si>
  <si>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</si>
  <si>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</si>
  <si>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</si>
  <si>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</si>
  <si>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</si>
  <si>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</si>
  <si>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</si>
  <si>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</si>
  <si>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</si>
  <si>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</si>
  <si>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</si>
  <si>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</si>
  <si>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</si>
  <si>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</si>
  <si>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</si>
  <si>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</si>
  <si>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</si>
  <si>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</si>
  <si>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</si>
  <si>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</si>
  <si>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</si>
  <si>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</si>
  <si>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</si>
  <si>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</si>
  <si>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</si>
  <si>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</si>
  <si>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</si>
  <si>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</si>
  <si>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</si>
  <si>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</si>
  <si>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</si>
  <si>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</si>
  <si>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</si>
  <si>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</si>
  <si>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</si>
  <si>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</si>
  <si>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</si>
  <si>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</si>
  <si>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</si>
  <si>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</si>
  <si>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</si>
  <si>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</si>
  <si>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</si>
  <si>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</si>
  <si>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</si>
  <si>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</si>
  <si>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</si>
  <si>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</si>
  <si>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</si>
  <si>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</si>
  <si>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</si>
  <si>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</si>
  <si>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</si>
  <si>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</si>
  <si>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</si>
  <si>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</si>
  <si>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</si>
  <si>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</si>
  <si>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</si>
  <si>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</si>
  <si>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</si>
  <si>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</si>
  <si>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</si>
  <si>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</si>
  <si>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</si>
  <si>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</si>
  <si>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</si>
  <si>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</si>
  <si>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</si>
  <si>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</si>
  <si>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</si>
  <si>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</si>
  <si>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</si>
  <si>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</si>
  <si>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</si>
  <si>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</si>
  <si>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</si>
  <si>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</si>
  <si>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</si>
  <si>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</si>
  <si>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</si>
  <si>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</si>
  <si>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</si>
  <si>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</si>
  <si>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</si>
  <si>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</si>
  <si>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</si>
  <si>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</si>
  <si>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</si>
  <si>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</si>
  <si>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</si>
  <si>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</si>
  <si>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</si>
  <si>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</si>
  <si>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</si>
  <si>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</si>
  <si>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</si>
  <si>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</si>
  <si>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</si>
  <si>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</si>
  <si>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</si>
  <si>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</si>
  <si>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</si>
  <si>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</si>
  <si>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</si>
  <si>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</si>
  <si>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</si>
  <si>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</si>
  <si>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</si>
  <si>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</si>
  <si>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</si>
  <si>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</si>
  <si>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</si>
  <si>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</si>
  <si>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</si>
  <si>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</si>
  <si>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</si>
  <si>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</si>
  <si>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</si>
  <si>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</si>
  <si>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</si>
  <si>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</si>
  <si>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</si>
  <si>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</si>
  <si>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</si>
  <si>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</si>
  <si>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</si>
  <si>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</si>
  <si>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</si>
  <si>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</si>
  <si>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</si>
  <si>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</si>
  <si>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</si>
  <si>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</si>
  <si>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</si>
  <si>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</si>
  <si>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</si>
  <si>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</si>
  <si>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</si>
  <si>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</si>
  <si>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</si>
  <si>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</si>
  <si>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</si>
  <si>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</si>
  <si>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</si>
  <si>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</si>
  <si>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</si>
  <si>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</si>
  <si>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</si>
  <si>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</si>
  <si>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</si>
  <si>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</si>
  <si>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</si>
  <si>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</si>
  <si>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</si>
  <si>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</si>
  <si>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</si>
  <si>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</si>
  <si>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</si>
  <si>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</si>
  <si>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</si>
  <si>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</si>
  <si>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</si>
  <si>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</si>
  <si>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</si>
  <si>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</si>
  <si>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</si>
  <si>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</si>
  <si>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</si>
  <si>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</si>
  <si>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</si>
  <si>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</si>
  <si>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</si>
  <si>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</si>
  <si>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</si>
  <si>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</si>
  <si>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</si>
  <si>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</si>
  <si>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</si>
  <si>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</si>
  <si>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</si>
  <si>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</si>
  <si>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</si>
  <si>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</si>
  <si>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</si>
  <si>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</si>
  <si>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</si>
  <si>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</si>
  <si>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</si>
  <si>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</si>
  <si>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</si>
  <si>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</si>
  <si>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</si>
  <si>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</si>
  <si>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</si>
  <si>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</si>
  <si>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</si>
  <si>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</si>
  <si>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</si>
  <si>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</si>
  <si>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</si>
  <si>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</si>
  <si>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</si>
  <si>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</si>
  <si>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</si>
  <si>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</si>
  <si>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</si>
  <si>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</si>
  <si>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</si>
  <si>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</si>
  <si>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</si>
  <si>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</si>
  <si>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</si>
  <si>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</si>
  <si>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</si>
  <si>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</si>
  <si>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</si>
  <si>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</si>
  <si>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</si>
  <si>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</si>
  <si>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</si>
  <si>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</si>
  <si>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</si>
  <si>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</si>
  <si>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</si>
  <si>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</si>
  <si>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</si>
  <si>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</si>
  <si>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</si>
  <si>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</si>
  <si>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</si>
  <si>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</si>
  <si>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</si>
  <si>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</si>
  <si>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</si>
  <si>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</si>
  <si>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</si>
  <si>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</si>
  <si>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</si>
  <si>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</si>
  <si>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</si>
  <si>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</si>
  <si>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</si>
  <si>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</si>
  <si>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</si>
  <si>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</si>
  <si>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</si>
  <si>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</si>
  <si>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</si>
  <si>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</si>
  <si>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</si>
  <si>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</si>
  <si>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</si>
  <si>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</si>
  <si>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</si>
  <si>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</si>
  <si>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</si>
  <si>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</si>
  <si>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</si>
  <si>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</si>
  <si>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</si>
  <si>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</si>
  <si>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</si>
  <si>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</si>
  <si>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</si>
  <si>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</si>
  <si>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</si>
  <si>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</si>
  <si>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</si>
  <si>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</si>
  <si>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</si>
  <si>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</si>
  <si>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</si>
  <si>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</si>
  <si>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</si>
  <si>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</si>
  <si>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</si>
  <si>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</si>
  <si>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</si>
  <si>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</si>
  <si>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</si>
  <si>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not "liquid"</t>
  </si>
  <si>
    <t>&lt;pub rate</t>
  </si>
  <si>
    <t>MYR368Legoland</t>
  </si>
  <si>
    <t>EOD 31 Aug 2023</t>
  </si>
  <si>
    <t>L=total liquid asset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</si>
  <si>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</si>
  <si>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</si>
  <si>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</si>
  <si>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</si>
  <si>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</si>
  <si>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</si>
  <si>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</si>
  <si>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</si>
  <si>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</si>
  <si>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EOD xxx 2023</t>
  </si>
  <si>
    <t>MB RBBT-P#1Sep</t>
  </si>
  <si>
    <t>HsbcRBBT-P</t>
  </si>
  <si>
    <t>HsbcRBBT-I</t>
  </si>
  <si>
    <t>MB RBBT-I #est</t>
  </si>
  <si>
    <t>mtg-P #2M</t>
  </si>
  <si>
    <t>MB RBBT orig</t>
  </si>
  <si>
    <t>HsbcRBBT orig</t>
  </si>
  <si>
    <t>纸币 A-B unaffected</t>
  </si>
  <si>
    <t>FCF = L - F</t>
  </si>
  <si>
    <t>F=FLI2 obligation</t>
  </si>
  <si>
    <t>F=FLI2 earmark</t>
  </si>
  <si>
    <t>actual HIS19 tab===</t>
  </si>
  <si>
    <t>LL=total liquid asset</t>
  </si>
  <si>
    <t>FCF = LL - F</t>
  </si>
  <si>
    <t xml:space="preserve">^ $4053 increases EOM LL </t>
  </si>
  <si>
    <t>GV/HSBC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</si>
  <si>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</si>
  <si>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</si>
  <si>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</si>
  <si>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</si>
  <si>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</si>
  <si>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</si>
  <si>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</si>
  <si>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</si>
  <si>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</si>
  <si>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</si>
  <si>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</si>
  <si>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</si>
  <si>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</si>
  <si>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</si>
  <si>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</si>
  <si>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</si>
  <si>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</si>
  <si>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</si>
  <si>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</si>
  <si>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</si>
  <si>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</si>
  <si>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</si>
  <si>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</si>
  <si>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</si>
  <si>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piano#MCSA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</si>
  <si>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</si>
  <si>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</si>
  <si>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</si>
  <si>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</si>
  <si>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</si>
  <si>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</si>
  <si>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</si>
  <si>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</si>
  <si>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</si>
  <si>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</si>
  <si>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</si>
  <si>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</si>
  <si>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</si>
  <si>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</si>
  <si>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</si>
  <si>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CIMB #31/8</t>
  </si>
  <si>
    <t>81.91 !yet</t>
  </si>
  <si>
    <t>.. IRAS{AXS{SCB</t>
  </si>
  <si>
    <t>~~ to submit</t>
  </si>
  <si>
    <t>MB@mrt</t>
  </si>
  <si>
    <t>HsbcRBBT-I#exact</t>
  </si>
  <si>
    <t>HsbcRBBT</t>
  </si>
  <si>
    <t>bday gift #Laz#MB</t>
  </si>
  <si>
    <t>pill 24Aug #cash reimb</t>
  </si>
  <si>
    <t>HenryLew 8/9 #SCB</t>
  </si>
  <si>
    <t>EGA/CIMB,Citi sav+ccard: $0</t>
  </si>
  <si>
    <t>ATM till 9 Sep</t>
  </si>
  <si>
    <t>Lagoon</t>
  </si>
  <si>
    <t>BMX bike</t>
  </si>
  <si>
    <t>boy dark cake</t>
  </si>
  <si>
    <t>boy Jollibee</t>
  </si>
  <si>
    <t>boy cakeHistory</t>
  </si>
  <si>
    <t>anyW 9/9,10/9</t>
  </si>
  <si>
    <t>specs</t>
  </si>
  <si>
    <t>DIR</t>
  </si>
  <si>
    <t>KFC@SunPlaza</t>
  </si>
  <si>
    <t>!yet=no charge yet</t>
  </si>
  <si>
    <t>!show=charged not refreshed</t>
  </si>
  <si>
    <t>SunPlaza Kofu</t>
  </si>
  <si>
    <t>!yet</t>
  </si>
  <si>
    <t>pizzaHut #MB</t>
  </si>
  <si>
    <t>Watson 11/9</t>
  </si>
  <si>
    <t>~~ snapshot numbers should</t>
  </si>
  <si>
    <t>..NOT depend on non-snapshot</t>
  </si>
  <si>
    <t>tBill #19Mar</t>
  </si>
  <si>
    <t>3928.41 !yet</t>
  </si>
  <si>
    <t>C also items in coupleAsset tab</t>
  </si>
  <si>
    <t>108&gt;MB ccard</t>
  </si>
  <si>
    <t>mid 14Sep</t>
  </si>
  <si>
    <t>eccard ACL#Giro8th</t>
  </si>
  <si>
    <t>^^ posted 31Aug..confusing</t>
  </si>
  <si>
    <t>tBill upfront #20k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</si>
</sst>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2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2" xfId="0" applyBorder="1"/>
    <xf numFmtId="0" fontId="0" fillId="0" borderId="0" xfId="0" applyBorder="1" applyAlignment="1">
      <alignment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Alignment="1"/>
    <xf numFmtId="0" fontId="0" fillId="0" borderId="0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04" t="s">
        <v>1875</v>
      </c>
      <c r="C2" s="1004"/>
      <c r="D2" s="1004"/>
      <c r="E2" s="1006" t="s">
        <v>2491</v>
      </c>
      <c r="F2" s="1006" t="s">
        <v>2513</v>
      </c>
      <c r="G2" s="689"/>
      <c r="H2" s="992"/>
      <c r="I2" s="1005" t="s">
        <v>2617</v>
      </c>
      <c r="J2" s="1005"/>
      <c r="K2" s="994" t="s">
        <v>2614</v>
      </c>
      <c r="L2" s="994" t="s">
        <v>2536</v>
      </c>
      <c r="M2" s="1006" t="s">
        <v>2496</v>
      </c>
      <c r="N2" s="986" t="s">
        <v>2503</v>
      </c>
    </row>
    <row r="3" spans="2:16" s="696" customFormat="1">
      <c r="B3" s="690" t="s">
        <v>1874</v>
      </c>
      <c r="C3" s="691" t="s">
        <v>1873</v>
      </c>
      <c r="D3" s="692" t="s">
        <v>2410</v>
      </c>
      <c r="E3" s="1007"/>
      <c r="F3" s="1007"/>
      <c r="G3" s="693"/>
      <c r="H3" s="993"/>
      <c r="I3" s="694" t="s">
        <v>2579</v>
      </c>
      <c r="J3" s="695" t="s">
        <v>2210</v>
      </c>
      <c r="K3" s="995"/>
      <c r="L3" s="995"/>
      <c r="M3" s="1007"/>
      <c r="N3" s="986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2506</v>
      </c>
      <c r="O4" s="622" t="s">
        <v>2542</v>
      </c>
    </row>
    <row r="5" spans="2:16" s="622" customFormat="1">
      <c r="B5" s="622" t="s">
        <v>2492</v>
      </c>
      <c r="C5" s="622">
        <v>8</v>
      </c>
      <c r="D5" s="622">
        <f>D4</f>
        <v>130</v>
      </c>
      <c r="E5" s="622" t="s">
        <v>2515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2506</v>
      </c>
    </row>
    <row r="6" spans="2:16" s="622" customFormat="1">
      <c r="B6" s="682"/>
      <c r="E6" s="683">
        <v>155</v>
      </c>
      <c r="G6" s="684">
        <v>44985</v>
      </c>
      <c r="H6" s="651" t="s">
        <v>2544</v>
      </c>
      <c r="P6" s="651"/>
    </row>
    <row r="7" spans="2:16" s="622" customFormat="1">
      <c r="B7" s="682"/>
      <c r="G7" s="684">
        <v>44987</v>
      </c>
      <c r="H7" s="685" t="s">
        <v>2684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2711</v>
      </c>
      <c r="P8" s="731"/>
    </row>
    <row r="9" spans="2:16" s="622" customFormat="1">
      <c r="B9" s="686"/>
      <c r="E9" s="622" t="s">
        <v>2512</v>
      </c>
      <c r="F9" s="622" t="s">
        <v>2582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2672</v>
      </c>
    </row>
    <row r="10" spans="2:16">
      <c r="B10" s="565"/>
      <c r="C10" s="999" t="s">
        <v>2494</v>
      </c>
      <c r="D10" s="999"/>
      <c r="E10" s="999"/>
      <c r="F10" s="999"/>
      <c r="G10" s="999"/>
      <c r="H10" s="999"/>
      <c r="I10" s="999"/>
      <c r="J10" s="999"/>
      <c r="K10" s="999"/>
      <c r="L10" s="999"/>
      <c r="M10" s="999"/>
      <c r="N10" s="999"/>
      <c r="O10" s="999"/>
      <c r="P10" s="999"/>
    </row>
    <row r="11" spans="2:16" ht="12.75" customHeight="1">
      <c r="B11" s="564"/>
      <c r="C11" s="556" t="s">
        <v>2509</v>
      </c>
      <c r="D11" s="554"/>
      <c r="E11" s="987" t="s">
        <v>2491</v>
      </c>
      <c r="F11" s="987" t="s">
        <v>2513</v>
      </c>
      <c r="G11" s="558"/>
      <c r="H11" s="990" t="s">
        <v>2502</v>
      </c>
      <c r="I11" s="996" t="s">
        <v>2727</v>
      </c>
      <c r="J11" s="1000" t="s">
        <v>2615</v>
      </c>
      <c r="K11" s="1000"/>
      <c r="L11" s="1001"/>
      <c r="M11" s="987" t="s">
        <v>2728</v>
      </c>
      <c r="N11" s="989" t="s">
        <v>2503</v>
      </c>
    </row>
    <row r="12" spans="2:16">
      <c r="B12" s="564"/>
      <c r="C12" s="550" t="s">
        <v>1873</v>
      </c>
      <c r="D12" s="551" t="s">
        <v>2410</v>
      </c>
      <c r="E12" s="988"/>
      <c r="F12" s="988"/>
      <c r="G12" s="560"/>
      <c r="H12" s="991"/>
      <c r="I12" s="997"/>
      <c r="J12" s="697" t="s">
        <v>2511</v>
      </c>
      <c r="K12" s="561" t="s">
        <v>1874</v>
      </c>
      <c r="L12" s="1002"/>
      <c r="M12" s="988"/>
      <c r="N12" s="989"/>
    </row>
    <row r="13" spans="2:16" s="622" customFormat="1">
      <c r="B13" s="1003">
        <v>8</v>
      </c>
      <c r="C13" s="1003"/>
      <c r="G13" s="688">
        <v>45017</v>
      </c>
      <c r="H13" s="651">
        <v>0</v>
      </c>
      <c r="J13" s="698"/>
      <c r="O13" s="622" t="s">
        <v>2510</v>
      </c>
    </row>
    <row r="14" spans="2:16" s="622" customFormat="1">
      <c r="B14" s="686"/>
      <c r="C14" s="622" t="s">
        <v>2492</v>
      </c>
      <c r="E14" s="685" t="s">
        <v>2618</v>
      </c>
      <c r="F14" s="685" t="s">
        <v>2606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2672</v>
      </c>
    </row>
    <row r="15" spans="2:16" s="622" customFormat="1">
      <c r="B15" s="686"/>
      <c r="E15" s="685"/>
      <c r="F15" s="685"/>
      <c r="G15" s="650">
        <v>45034</v>
      </c>
      <c r="H15" s="651" t="s">
        <v>2738</v>
      </c>
      <c r="N15" s="651"/>
    </row>
    <row r="16" spans="2:16" s="729" customFormat="1">
      <c r="B16" s="741"/>
      <c r="C16" s="729">
        <v>3</v>
      </c>
      <c r="E16" s="731" t="s">
        <v>2661</v>
      </c>
      <c r="F16" s="731" t="s">
        <v>2582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2504</v>
      </c>
      <c r="O16" s="729" t="s">
        <v>2753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2710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2870</v>
      </c>
    </row>
    <row r="19" spans="2:18" s="729" customFormat="1">
      <c r="B19" s="824"/>
      <c r="C19" s="998" t="s">
        <v>2495</v>
      </c>
      <c r="D19" s="998"/>
      <c r="E19" s="998"/>
      <c r="F19" s="998"/>
      <c r="G19" s="998"/>
      <c r="H19" s="998"/>
      <c r="I19" s="998"/>
      <c r="J19" s="998"/>
      <c r="K19" s="998"/>
      <c r="L19" s="998"/>
      <c r="M19" s="998"/>
      <c r="N19" s="998"/>
      <c r="O19" s="998"/>
      <c r="P19" s="998"/>
    </row>
    <row r="20" spans="2:18" s="729" customFormat="1">
      <c r="B20" s="741"/>
      <c r="G20" s="985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2493</v>
      </c>
      <c r="G21" s="985"/>
      <c r="K21" s="731"/>
      <c r="L21" s="731"/>
      <c r="O21" s="729" t="s">
        <v>2530</v>
      </c>
      <c r="R21" s="823"/>
    </row>
    <row r="22" spans="2:18" s="729" customFormat="1" ht="12.75" customHeight="1">
      <c r="B22" s="741"/>
      <c r="G22" s="985"/>
      <c r="H22" s="731"/>
      <c r="K22" s="731"/>
      <c r="L22" s="731"/>
      <c r="O22" s="729" t="s">
        <v>2729</v>
      </c>
      <c r="R22" s="823"/>
    </row>
    <row r="23" spans="2:18" s="729" customFormat="1">
      <c r="B23" s="741"/>
      <c r="C23" s="729">
        <v>0</v>
      </c>
      <c r="E23" s="729" t="s">
        <v>2514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2769</v>
      </c>
      <c r="C2" s="772"/>
      <c r="D2" s="773" t="s">
        <v>2778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08">
        <f>SUMPRODUCT(D4:D33,E4:E33)/365</f>
        <v>25.715295438356168</v>
      </c>
      <c r="E34" s="1008"/>
      <c r="F34" s="773"/>
    </row>
    <row r="35" spans="2:11">
      <c r="B35" s="772" t="s">
        <v>2789</v>
      </c>
      <c r="D35" s="1008" t="s">
        <v>2779</v>
      </c>
      <c r="E35" s="1008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I10" sqref="I1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2769</v>
      </c>
      <c r="C2" s="734"/>
      <c r="D2" s="821" t="s">
        <v>2957</v>
      </c>
    </row>
    <row r="3" spans="2:10" ht="14.25">
      <c r="B3" s="242">
        <f t="shared" ref="B3:B33" si="0">MIN(D3,100000)</f>
        <v>0</v>
      </c>
      <c r="C3" s="878"/>
      <c r="D3" s="820">
        <v>0</v>
      </c>
      <c r="E3" s="737">
        <f>VLOOKUP(D3,$H$5:$I$8,2)</f>
        <v>1.5E-3</v>
      </c>
    </row>
    <row r="4" spans="2:10" ht="14.25">
      <c r="B4" s="242">
        <f t="shared" si="0"/>
        <v>0</v>
      </c>
      <c r="C4" s="878">
        <v>45199</v>
      </c>
      <c r="D4" s="820">
        <v>0</v>
      </c>
      <c r="E4" s="737">
        <f>VLOOKUP(D4,$H$5:$I$8,2)</f>
        <v>1.5E-3</v>
      </c>
      <c r="F4" s="737"/>
      <c r="H4" s="219" t="s">
        <v>2866</v>
      </c>
      <c r="I4" s="219" t="s">
        <v>3092</v>
      </c>
      <c r="J4" s="219" t="s">
        <v>2867</v>
      </c>
    </row>
    <row r="5" spans="2:10" ht="14.25">
      <c r="B5" s="242">
        <f t="shared" si="0"/>
        <v>0</v>
      </c>
      <c r="C5" s="878">
        <v>45198</v>
      </c>
      <c r="D5" s="820">
        <v>0</v>
      </c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2869</v>
      </c>
    </row>
    <row r="6" spans="2:10" ht="14.25">
      <c r="B6" s="242">
        <f t="shared" si="0"/>
        <v>0</v>
      </c>
      <c r="C6" s="878">
        <v>45197</v>
      </c>
      <c r="D6" s="820">
        <v>0</v>
      </c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0</v>
      </c>
      <c r="C7" s="878">
        <v>45196</v>
      </c>
      <c r="D7" s="820">
        <v>0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0</v>
      </c>
      <c r="C8" s="878">
        <v>45195</v>
      </c>
      <c r="D8" s="820">
        <v>0</v>
      </c>
      <c r="E8" s="737">
        <f>VLOOKUP(D8,$H$5:$I$8,2)</f>
        <v>1.5E-3</v>
      </c>
      <c r="F8" s="737"/>
      <c r="H8" s="640">
        <v>100000</v>
      </c>
      <c r="I8" s="822">
        <v>4.0000000000000001E-3</v>
      </c>
      <c r="J8" s="219" t="s">
        <v>2868</v>
      </c>
    </row>
    <row r="9" spans="2:10" ht="14.25">
      <c r="B9" s="242">
        <f t="shared" si="0"/>
        <v>0</v>
      </c>
      <c r="C9" s="878">
        <v>45194</v>
      </c>
      <c r="D9" s="820">
        <v>0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0</v>
      </c>
      <c r="C10" s="878">
        <v>45193</v>
      </c>
      <c r="D10" s="820">
        <v>0</v>
      </c>
      <c r="E10" s="737">
        <f t="shared" si="1"/>
        <v>1.5E-3</v>
      </c>
      <c r="F10" s="737"/>
    </row>
    <row r="11" spans="2:10" ht="14.25">
      <c r="B11" s="242">
        <f t="shared" si="0"/>
        <v>0</v>
      </c>
      <c r="C11" s="878">
        <v>45192</v>
      </c>
      <c r="D11" s="820">
        <v>0</v>
      </c>
      <c r="E11" s="737">
        <f>VLOOKUP(D11,$H$5:$I$8,2)</f>
        <v>1.5E-3</v>
      </c>
      <c r="F11" s="737"/>
    </row>
    <row r="12" spans="2:10" ht="14.25">
      <c r="B12" s="242">
        <f t="shared" si="0"/>
        <v>0</v>
      </c>
      <c r="C12" s="878">
        <v>45191</v>
      </c>
      <c r="D12" s="820">
        <v>0</v>
      </c>
      <c r="E12" s="737">
        <f t="shared" si="1"/>
        <v>1.5E-3</v>
      </c>
      <c r="F12" s="737"/>
    </row>
    <row r="13" spans="2:10" ht="14.25">
      <c r="B13" s="242">
        <f t="shared" si="0"/>
        <v>0</v>
      </c>
      <c r="C13" s="878">
        <v>45190</v>
      </c>
      <c r="D13" s="820">
        <v>0</v>
      </c>
      <c r="E13" s="737">
        <f t="shared" si="1"/>
        <v>1.5E-3</v>
      </c>
      <c r="F13" s="737"/>
    </row>
    <row r="14" spans="2:10" ht="14.25">
      <c r="B14" s="242">
        <f t="shared" si="0"/>
        <v>0</v>
      </c>
      <c r="C14" s="878">
        <v>45189</v>
      </c>
      <c r="D14" s="820">
        <v>0</v>
      </c>
      <c r="E14" s="737">
        <f t="shared" si="1"/>
        <v>1.5E-3</v>
      </c>
      <c r="F14" s="737"/>
    </row>
    <row r="15" spans="2:10" ht="14.25">
      <c r="B15" s="242">
        <f t="shared" si="0"/>
        <v>0</v>
      </c>
      <c r="C15" s="878">
        <v>45188</v>
      </c>
      <c r="D15" s="820">
        <v>0</v>
      </c>
      <c r="E15" s="737">
        <f t="shared" si="1"/>
        <v>1.5E-3</v>
      </c>
      <c r="F15" s="737"/>
    </row>
    <row r="16" spans="2:10" ht="14.25">
      <c r="B16" s="242">
        <f t="shared" si="0"/>
        <v>0</v>
      </c>
      <c r="C16" s="878">
        <v>45187</v>
      </c>
      <c r="D16" s="820">
        <v>0</v>
      </c>
      <c r="E16" s="737">
        <f t="shared" si="1"/>
        <v>1.5E-3</v>
      </c>
      <c r="F16" s="737"/>
    </row>
    <row r="17" spans="2:11" ht="14.25">
      <c r="B17" s="242">
        <f t="shared" si="0"/>
        <v>0</v>
      </c>
      <c r="C17" s="878">
        <v>45186</v>
      </c>
      <c r="D17" s="820">
        <v>0</v>
      </c>
      <c r="E17" s="737">
        <f t="shared" si="1"/>
        <v>1.5E-3</v>
      </c>
      <c r="F17" s="737"/>
    </row>
    <row r="18" spans="2:11" ht="14.25">
      <c r="B18" s="242">
        <f t="shared" si="0"/>
        <v>0</v>
      </c>
      <c r="C18" s="878">
        <v>45185</v>
      </c>
      <c r="D18" s="820">
        <v>0</v>
      </c>
      <c r="E18" s="737">
        <f t="shared" si="1"/>
        <v>1.5E-3</v>
      </c>
      <c r="F18" s="737"/>
    </row>
    <row r="19" spans="2:11" ht="14.25">
      <c r="B19" s="242">
        <f t="shared" si="0"/>
        <v>0</v>
      </c>
      <c r="C19" s="878">
        <v>45184</v>
      </c>
      <c r="D19" s="820">
        <v>0</v>
      </c>
      <c r="E19" s="737">
        <f>VLOOKUP(D19,$H$5:$I$8,2)</f>
        <v>1.5E-3</v>
      </c>
      <c r="F19" s="737"/>
    </row>
    <row r="20" spans="2:11" ht="14.25">
      <c r="B20" s="242">
        <f t="shared" si="0"/>
        <v>0</v>
      </c>
      <c r="C20" s="878">
        <v>45183</v>
      </c>
      <c r="D20" s="820">
        <v>0</v>
      </c>
      <c r="E20" s="737">
        <f t="shared" si="1"/>
        <v>1.5E-3</v>
      </c>
      <c r="F20" s="737"/>
    </row>
    <row r="21" spans="2:11" ht="14.25">
      <c r="B21" s="242">
        <f t="shared" si="0"/>
        <v>0</v>
      </c>
      <c r="C21" s="878">
        <v>45182</v>
      </c>
      <c r="D21" s="820">
        <v>0</v>
      </c>
      <c r="E21" s="737">
        <f t="shared" si="1"/>
        <v>1.5E-3</v>
      </c>
      <c r="F21" s="737"/>
    </row>
    <row r="22" spans="2:11" ht="14.25">
      <c r="B22" s="242">
        <f t="shared" si="0"/>
        <v>0</v>
      </c>
      <c r="C22" s="878">
        <v>45181</v>
      </c>
      <c r="D22" s="820">
        <v>0</v>
      </c>
      <c r="E22" s="737">
        <f t="shared" si="1"/>
        <v>1.5E-3</v>
      </c>
      <c r="F22" s="737"/>
    </row>
    <row r="23" spans="2:11" ht="14.25">
      <c r="B23" s="242">
        <f t="shared" si="0"/>
        <v>0</v>
      </c>
      <c r="C23" s="878">
        <v>45180</v>
      </c>
      <c r="D23" s="820">
        <v>0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45179</v>
      </c>
      <c r="D24" s="863">
        <v>100035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45178</v>
      </c>
      <c r="D25" s="863">
        <v>100035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878">
        <v>45177</v>
      </c>
      <c r="D26" s="863">
        <v>100035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878">
        <v>45176</v>
      </c>
      <c r="D27" s="863">
        <v>100035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45175</v>
      </c>
      <c r="D28" s="863">
        <v>100035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45174</v>
      </c>
      <c r="D29" s="863">
        <v>100035</v>
      </c>
      <c r="E29" s="737">
        <f t="shared" si="1"/>
        <v>4.0000000000000001E-3</v>
      </c>
      <c r="F29" s="737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8">
        <v>45173</v>
      </c>
      <c r="D30" s="863">
        <v>100035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45172</v>
      </c>
      <c r="D31" s="820">
        <v>101547</v>
      </c>
      <c r="E31" s="737">
        <f t="shared" si="1"/>
        <v>4.0000000000000001E-3</v>
      </c>
      <c r="F31" s="737"/>
      <c r="H31" s="739">
        <f>$B$35</f>
        <v>32258.064516129034</v>
      </c>
      <c r="I31" s="739">
        <f>$B$35</f>
        <v>32258.064516129034</v>
      </c>
      <c r="J31" s="739">
        <f>$B$35</f>
        <v>32258.064516129034</v>
      </c>
    </row>
    <row r="32" spans="2:11" ht="14.25">
      <c r="B32" s="242">
        <f t="shared" si="0"/>
        <v>100000</v>
      </c>
      <c r="C32" s="878">
        <v>45171</v>
      </c>
      <c r="D32" s="820">
        <v>101547</v>
      </c>
      <c r="E32" s="737">
        <f t="shared" si="1"/>
        <v>4.0000000000000001E-3</v>
      </c>
      <c r="F32" s="737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8">
        <v>45170</v>
      </c>
      <c r="D33" s="820">
        <v>101547</v>
      </c>
      <c r="E33" s="737">
        <f t="shared" si="1"/>
        <v>4.0000000000000001E-3</v>
      </c>
      <c r="F33" s="737"/>
      <c r="H33" s="580">
        <f>H30*H31/365*31</f>
        <v>68.493150684931521</v>
      </c>
      <c r="I33" s="580">
        <f>I30*I31/365*31</f>
        <v>24.657534246575342</v>
      </c>
      <c r="J33" s="580">
        <f>J30*J31/365*31</f>
        <v>13.698630136986303</v>
      </c>
      <c r="K33" s="739">
        <f>D35</f>
        <v>11.012449315068492</v>
      </c>
    </row>
    <row r="34" spans="2:11">
      <c r="B34" s="242"/>
      <c r="C34" s="736"/>
      <c r="D34" s="774"/>
      <c r="E34" s="737"/>
      <c r="F34" s="737"/>
      <c r="G34" s="580" t="s">
        <v>2784</v>
      </c>
      <c r="H34" s="580">
        <v>135.77000000000001</v>
      </c>
      <c r="I34" s="580">
        <v>48.88</v>
      </c>
      <c r="J34" s="580">
        <v>27.16</v>
      </c>
      <c r="K34" s="580">
        <v>20.67</v>
      </c>
    </row>
    <row r="35" spans="2:11">
      <c r="B35" s="739">
        <f>AVERAGE(B3:B33)</f>
        <v>32258.064516129034</v>
      </c>
      <c r="D35" s="1008">
        <f>SUMPRODUCT(D3:D33,E3:E33)/365</f>
        <v>11.012449315068492</v>
      </c>
      <c r="E35" s="1008"/>
      <c r="F35" s="740"/>
    </row>
    <row r="36" spans="2:11">
      <c r="B36" s="734" t="s">
        <v>2789</v>
      </c>
      <c r="D36" s="1008" t="s">
        <v>2779</v>
      </c>
      <c r="E36" s="1008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2702</v>
      </c>
      <c r="C2" s="674" t="s">
        <v>311</v>
      </c>
      <c r="D2" s="675" t="s">
        <v>2706</v>
      </c>
      <c r="E2" s="676" t="s">
        <v>2703</v>
      </c>
      <c r="F2" s="676" t="s">
        <v>2736</v>
      </c>
      <c r="G2" s="676" t="s">
        <v>2704</v>
      </c>
      <c r="H2" s="674" t="s">
        <v>460</v>
      </c>
      <c r="I2" s="673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2735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2735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2708</v>
      </c>
      <c r="D10" s="227"/>
      <c r="E10" s="227"/>
      <c r="F10" s="705"/>
      <c r="G10" s="227" t="s">
        <v>2709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2735</v>
      </c>
      <c r="G15" s="227">
        <f t="shared" si="1"/>
        <v>108175.48</v>
      </c>
      <c r="H15" s="81">
        <v>44701</v>
      </c>
      <c r="I15" s="63" t="s">
        <v>2917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2735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2735</v>
      </c>
      <c r="G22" s="227">
        <f t="shared" si="2"/>
        <v>100108.48</v>
      </c>
      <c r="H22" s="81">
        <v>45092</v>
      </c>
      <c r="I22" s="63" t="s">
        <v>2916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2735</v>
      </c>
      <c r="G23" s="227">
        <f t="shared" si="2"/>
        <v>104108.48</v>
      </c>
      <c r="H23" s="81">
        <v>45127</v>
      </c>
      <c r="I23" s="63" t="s">
        <v>2921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2735</v>
      </c>
      <c r="G24" s="227">
        <f t="shared" ref="G24" si="3">SUM(B24:E24)</f>
        <v>106108.48</v>
      </c>
      <c r="H24" s="81">
        <v>45168</v>
      </c>
      <c r="I24" s="63" t="s">
        <v>2996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8" t="s">
        <v>2864</v>
      </c>
      <c r="D2" t="s">
        <v>461</v>
      </c>
    </row>
    <row r="3" spans="1:4">
      <c r="A3" s="819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7">
        <f>C4+B5</f>
        <v>11000</v>
      </c>
      <c r="D5" s="817" t="s">
        <v>2860</v>
      </c>
    </row>
    <row r="6" spans="1:4">
      <c r="B6">
        <v>2000</v>
      </c>
      <c r="C6" s="817">
        <f>C5+B6</f>
        <v>13000</v>
      </c>
      <c r="D6" t="s">
        <v>2859</v>
      </c>
    </row>
    <row r="7" spans="1:4">
      <c r="B7">
        <v>2000</v>
      </c>
      <c r="C7" s="817">
        <f>C6+B7</f>
        <v>15000</v>
      </c>
      <c r="D7" s="817" t="s">
        <v>2859</v>
      </c>
    </row>
    <row r="8" spans="1:4">
      <c r="A8" s="819">
        <v>45098</v>
      </c>
      <c r="B8">
        <v>-12700</v>
      </c>
      <c r="D8" t="s">
        <v>2861</v>
      </c>
    </row>
    <row r="9" spans="1:4">
      <c r="C9" s="817">
        <f>C7+B8</f>
        <v>2300</v>
      </c>
      <c r="D9" t="s">
        <v>2865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09" t="s">
        <v>1897</v>
      </c>
      <c r="D3" s="1009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10" t="s">
        <v>2079</v>
      </c>
      <c r="C2" s="1010"/>
      <c r="D2" s="1011" t="s">
        <v>1875</v>
      </c>
      <c r="E2" s="1011"/>
      <c r="F2" s="471"/>
      <c r="G2" s="471"/>
      <c r="H2" s="378"/>
      <c r="I2" s="1014" t="s">
        <v>2255</v>
      </c>
      <c r="J2" s="1015"/>
      <c r="K2" s="1015"/>
      <c r="L2" s="1015"/>
      <c r="M2" s="1015"/>
      <c r="N2" s="1015"/>
      <c r="O2" s="1016"/>
      <c r="P2" s="438"/>
      <c r="Q2" s="1017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22" t="s">
        <v>2281</v>
      </c>
      <c r="G3" s="1023"/>
      <c r="H3" s="378"/>
      <c r="I3" s="433"/>
      <c r="J3" s="472"/>
      <c r="K3" s="1019" t="s">
        <v>2418</v>
      </c>
      <c r="L3" s="1020"/>
      <c r="M3" s="1021"/>
      <c r="N3" s="476"/>
      <c r="O3" s="430"/>
      <c r="P3" s="470"/>
      <c r="Q3" s="1018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12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12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13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13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31" t="s">
        <v>124</v>
      </c>
      <c r="C1" s="931"/>
      <c r="D1" s="935" t="s">
        <v>292</v>
      </c>
      <c r="E1" s="935"/>
      <c r="F1" s="935" t="s">
        <v>341</v>
      </c>
      <c r="G1" s="935"/>
      <c r="H1" s="932" t="s">
        <v>127</v>
      </c>
      <c r="I1" s="932"/>
      <c r="J1" s="933" t="s">
        <v>292</v>
      </c>
      <c r="K1" s="933"/>
      <c r="L1" s="934" t="s">
        <v>520</v>
      </c>
      <c r="M1" s="934"/>
      <c r="N1" s="932" t="s">
        <v>146</v>
      </c>
      <c r="O1" s="932"/>
      <c r="P1" s="933" t="s">
        <v>293</v>
      </c>
      <c r="Q1" s="933"/>
      <c r="R1" s="934" t="s">
        <v>522</v>
      </c>
      <c r="S1" s="934"/>
      <c r="T1" s="920" t="s">
        <v>193</v>
      </c>
      <c r="U1" s="920"/>
      <c r="V1" s="933" t="s">
        <v>292</v>
      </c>
      <c r="W1" s="933"/>
      <c r="X1" s="922" t="s">
        <v>524</v>
      </c>
      <c r="Y1" s="922"/>
      <c r="Z1" s="920" t="s">
        <v>241</v>
      </c>
      <c r="AA1" s="920"/>
      <c r="AB1" s="921" t="s">
        <v>292</v>
      </c>
      <c r="AC1" s="921"/>
      <c r="AD1" s="930" t="s">
        <v>524</v>
      </c>
      <c r="AE1" s="930"/>
      <c r="AF1" s="920" t="s">
        <v>367</v>
      </c>
      <c r="AG1" s="920"/>
      <c r="AH1" s="921" t="s">
        <v>292</v>
      </c>
      <c r="AI1" s="921"/>
      <c r="AJ1" s="922" t="s">
        <v>530</v>
      </c>
      <c r="AK1" s="922"/>
      <c r="AL1" s="920" t="s">
        <v>389</v>
      </c>
      <c r="AM1" s="920"/>
      <c r="AN1" s="928" t="s">
        <v>292</v>
      </c>
      <c r="AO1" s="928"/>
      <c r="AP1" s="926" t="s">
        <v>531</v>
      </c>
      <c r="AQ1" s="926"/>
      <c r="AR1" s="920" t="s">
        <v>416</v>
      </c>
      <c r="AS1" s="920"/>
      <c r="AV1" s="926" t="s">
        <v>285</v>
      </c>
      <c r="AW1" s="926"/>
      <c r="AX1" s="929" t="s">
        <v>998</v>
      </c>
      <c r="AY1" s="929"/>
      <c r="AZ1" s="929"/>
      <c r="BA1" s="208"/>
      <c r="BB1" s="924">
        <v>42942</v>
      </c>
      <c r="BC1" s="925"/>
      <c r="BD1" s="925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23" t="s">
        <v>261</v>
      </c>
      <c r="U4" s="923"/>
      <c r="X4" s="119" t="s">
        <v>233</v>
      </c>
      <c r="Y4" s="123">
        <f>Y3-Y6</f>
        <v>4.9669099999591708</v>
      </c>
      <c r="Z4" s="923" t="s">
        <v>262</v>
      </c>
      <c r="AA4" s="923"/>
      <c r="AD4" s="154" t="s">
        <v>233</v>
      </c>
      <c r="AE4" s="154">
        <f>AE3-AE5</f>
        <v>-52.526899999851594</v>
      </c>
      <c r="AF4" s="923" t="s">
        <v>262</v>
      </c>
      <c r="AG4" s="923"/>
      <c r="AH4" s="143"/>
      <c r="AI4" s="143"/>
      <c r="AJ4" s="154" t="s">
        <v>233</v>
      </c>
      <c r="AK4" s="154">
        <f>AK3-AK5</f>
        <v>94.988909999992757</v>
      </c>
      <c r="AL4" s="923" t="s">
        <v>262</v>
      </c>
      <c r="AM4" s="923"/>
      <c r="AP4" s="170" t="s">
        <v>233</v>
      </c>
      <c r="AQ4" s="174">
        <f>AQ3-AQ5</f>
        <v>33.841989999942598</v>
      </c>
      <c r="AR4" s="923" t="s">
        <v>262</v>
      </c>
      <c r="AS4" s="923"/>
      <c r="AX4" s="923" t="s">
        <v>564</v>
      </c>
      <c r="AY4" s="923"/>
      <c r="BB4" s="923" t="s">
        <v>567</v>
      </c>
      <c r="BC4" s="923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23"/>
      <c r="U5" s="923"/>
      <c r="V5" s="3" t="s">
        <v>258</v>
      </c>
      <c r="W5">
        <v>2050</v>
      </c>
      <c r="X5" s="82"/>
      <c r="Z5" s="923"/>
      <c r="AA5" s="92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23"/>
      <c r="AG5" s="923"/>
      <c r="AH5" s="143"/>
      <c r="AI5" s="143"/>
      <c r="AJ5" s="154" t="s">
        <v>352</v>
      </c>
      <c r="AK5" s="162">
        <f>SUM(AK11:AK59)</f>
        <v>30858.011000000002</v>
      </c>
      <c r="AL5" s="923"/>
      <c r="AM5" s="92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23"/>
      <c r="AS5" s="923"/>
      <c r="AX5" s="923"/>
      <c r="AY5" s="923"/>
      <c r="BB5" s="923"/>
      <c r="BC5" s="923"/>
      <c r="BD5" s="927" t="s">
        <v>999</v>
      </c>
      <c r="BE5" s="927"/>
      <c r="BF5" s="927"/>
      <c r="BG5" s="927"/>
      <c r="BH5" s="927"/>
      <c r="BI5" s="927"/>
      <c r="BJ5" s="927"/>
      <c r="BK5" s="927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36" t="s">
        <v>264</v>
      </c>
      <c r="W23" s="937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38"/>
      <c r="W24" s="939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40" t="s">
        <v>2656</v>
      </c>
      <c r="H3" s="941"/>
      <c r="I3" s="590"/>
      <c r="J3" s="940" t="s">
        <v>2657</v>
      </c>
      <c r="K3" s="941"/>
      <c r="L3" s="299"/>
      <c r="M3" s="940">
        <v>43739</v>
      </c>
      <c r="N3" s="941"/>
      <c r="O3" s="940">
        <v>42401</v>
      </c>
      <c r="P3" s="941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46" t="s">
        <v>2580</v>
      </c>
      <c r="D18" s="71" t="s">
        <v>2655</v>
      </c>
      <c r="E18" s="63" t="s">
        <v>2566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47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47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47"/>
      <c r="D21" s="71" t="s">
        <v>2655</v>
      </c>
      <c r="E21" s="63" t="s">
        <v>2565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47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47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47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47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48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49" t="s">
        <v>1182</v>
      </c>
      <c r="E33" s="613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50"/>
      <c r="E34" s="613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45">
        <f>G40/F42+H40</f>
        <v>1932511.2781954887</v>
      </c>
      <c r="H43" s="945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44">
        <f>H40*F42+G40</f>
        <v>2570240</v>
      </c>
      <c r="H44" s="944"/>
      <c r="I44" s="2"/>
      <c r="J44" s="944">
        <f>K40*1.37+J40</f>
        <v>1877697.6600000001</v>
      </c>
      <c r="K44" s="944"/>
      <c r="L44" s="2"/>
      <c r="M44" s="944">
        <f>N40*1.37+M40</f>
        <v>1789659</v>
      </c>
      <c r="N44" s="944"/>
      <c r="O44" s="944">
        <f>P40*1.36+O40</f>
        <v>1320187.2</v>
      </c>
      <c r="P44" s="944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43" t="s">
        <v>1186</v>
      </c>
      <c r="C47" s="943"/>
      <c r="D47" s="943"/>
      <c r="E47" s="943"/>
      <c r="F47" s="943"/>
      <c r="G47" s="943"/>
      <c r="H47" s="943"/>
      <c r="I47" s="943"/>
      <c r="J47" s="943"/>
      <c r="K47" s="943"/>
      <c r="L47" s="943"/>
      <c r="M47" s="943"/>
      <c r="N47" s="943"/>
    </row>
    <row r="48" spans="2:16">
      <c r="B48" s="943" t="s">
        <v>2553</v>
      </c>
      <c r="C48" s="943"/>
      <c r="D48" s="943"/>
      <c r="E48" s="943"/>
      <c r="F48" s="943"/>
      <c r="G48" s="943"/>
      <c r="H48" s="943"/>
      <c r="I48" s="943"/>
      <c r="J48" s="943"/>
      <c r="K48" s="943"/>
      <c r="L48" s="943"/>
      <c r="M48" s="943"/>
      <c r="N48" s="943"/>
    </row>
    <row r="49" spans="2:14">
      <c r="B49" s="943" t="s">
        <v>2552</v>
      </c>
      <c r="C49" s="943"/>
      <c r="D49" s="943"/>
      <c r="E49" s="943"/>
      <c r="F49" s="943"/>
      <c r="G49" s="943"/>
      <c r="H49" s="943"/>
      <c r="I49" s="943"/>
      <c r="J49" s="943"/>
      <c r="K49" s="943"/>
      <c r="L49" s="943"/>
      <c r="M49" s="943"/>
      <c r="N49" s="943"/>
    </row>
    <row r="50" spans="2:14">
      <c r="B50" s="942" t="s">
        <v>2551</v>
      </c>
      <c r="C50" s="942"/>
      <c r="D50" s="942"/>
      <c r="E50" s="942"/>
      <c r="F50" s="942"/>
      <c r="G50" s="942"/>
      <c r="H50" s="942"/>
      <c r="I50" s="942"/>
      <c r="J50" s="942"/>
      <c r="K50" s="942"/>
      <c r="L50" s="942"/>
      <c r="M50" s="942"/>
      <c r="N50" s="942"/>
    </row>
    <row r="51" spans="2:14">
      <c r="B51" s="942"/>
      <c r="C51" s="942"/>
      <c r="D51" s="942"/>
      <c r="E51" s="942"/>
      <c r="F51" s="942"/>
      <c r="G51" s="942"/>
      <c r="H51" s="942"/>
      <c r="I51" s="942"/>
      <c r="J51" s="942"/>
      <c r="K51" s="942"/>
      <c r="L51" s="942"/>
      <c r="M51" s="942"/>
      <c r="N51" s="942"/>
    </row>
    <row r="52" spans="2:14">
      <c r="B52" s="942"/>
      <c r="C52" s="942"/>
      <c r="D52" s="942"/>
      <c r="E52" s="942"/>
      <c r="F52" s="942"/>
      <c r="G52" s="942"/>
      <c r="H52" s="942"/>
      <c r="I52" s="942"/>
      <c r="J52" s="942"/>
      <c r="K52" s="942"/>
      <c r="L52" s="942"/>
      <c r="M52" s="942"/>
      <c r="N52" s="942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2627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2636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7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2630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2630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2630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2630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2630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2630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2630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2630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2630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2630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2629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2626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2631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2641</v>
      </c>
      <c r="C24" s="637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7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2635</v>
      </c>
      <c r="C26" s="637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52" t="s">
        <v>2645</v>
      </c>
      <c r="F38" s="953"/>
      <c r="G38" s="90"/>
      <c r="H38" s="90"/>
    </row>
    <row r="39" spans="2:8">
      <c r="B39" s="63" t="s">
        <v>2643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51" t="s">
        <v>989</v>
      </c>
      <c r="C41" s="951"/>
      <c r="D41" s="951"/>
      <c r="E41" s="951"/>
      <c r="F41" s="951"/>
      <c r="G41" s="951"/>
      <c r="H41" s="951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31" t="s">
        <v>909</v>
      </c>
      <c r="C1" s="931"/>
      <c r="D1" s="930" t="s">
        <v>515</v>
      </c>
      <c r="E1" s="930"/>
      <c r="F1" s="931" t="s">
        <v>513</v>
      </c>
      <c r="G1" s="931"/>
      <c r="H1" s="954" t="s">
        <v>549</v>
      </c>
      <c r="I1" s="954"/>
      <c r="J1" s="930" t="s">
        <v>515</v>
      </c>
      <c r="K1" s="930"/>
      <c r="L1" s="931" t="s">
        <v>908</v>
      </c>
      <c r="M1" s="931"/>
      <c r="N1" s="954" t="s">
        <v>549</v>
      </c>
      <c r="O1" s="954"/>
      <c r="P1" s="930" t="s">
        <v>515</v>
      </c>
      <c r="Q1" s="930"/>
      <c r="R1" s="931" t="s">
        <v>552</v>
      </c>
      <c r="S1" s="931"/>
      <c r="T1" s="954" t="s">
        <v>549</v>
      </c>
      <c r="U1" s="954"/>
      <c r="V1" s="930" t="s">
        <v>515</v>
      </c>
      <c r="W1" s="930"/>
      <c r="X1" s="931" t="s">
        <v>907</v>
      </c>
      <c r="Y1" s="931"/>
      <c r="Z1" s="954" t="s">
        <v>549</v>
      </c>
      <c r="AA1" s="954"/>
      <c r="AB1" s="930" t="s">
        <v>515</v>
      </c>
      <c r="AC1" s="930"/>
      <c r="AD1" s="931" t="s">
        <v>591</v>
      </c>
      <c r="AE1" s="931"/>
      <c r="AF1" s="954" t="s">
        <v>549</v>
      </c>
      <c r="AG1" s="954"/>
      <c r="AH1" s="930" t="s">
        <v>515</v>
      </c>
      <c r="AI1" s="930"/>
      <c r="AJ1" s="931" t="s">
        <v>906</v>
      </c>
      <c r="AK1" s="931"/>
      <c r="AL1" s="954" t="s">
        <v>626</v>
      </c>
      <c r="AM1" s="954"/>
      <c r="AN1" s="930" t="s">
        <v>627</v>
      </c>
      <c r="AO1" s="930"/>
      <c r="AP1" s="931" t="s">
        <v>621</v>
      </c>
      <c r="AQ1" s="931"/>
      <c r="AR1" s="954" t="s">
        <v>549</v>
      </c>
      <c r="AS1" s="954"/>
      <c r="AT1" s="930" t="s">
        <v>515</v>
      </c>
      <c r="AU1" s="930"/>
      <c r="AV1" s="931" t="s">
        <v>905</v>
      </c>
      <c r="AW1" s="931"/>
      <c r="AX1" s="954" t="s">
        <v>549</v>
      </c>
      <c r="AY1" s="954"/>
      <c r="AZ1" s="930" t="s">
        <v>515</v>
      </c>
      <c r="BA1" s="930"/>
      <c r="BB1" s="931" t="s">
        <v>653</v>
      </c>
      <c r="BC1" s="931"/>
      <c r="BD1" s="954" t="s">
        <v>549</v>
      </c>
      <c r="BE1" s="954"/>
      <c r="BF1" s="930" t="s">
        <v>515</v>
      </c>
      <c r="BG1" s="930"/>
      <c r="BH1" s="931" t="s">
        <v>904</v>
      </c>
      <c r="BI1" s="931"/>
      <c r="BJ1" s="954" t="s">
        <v>549</v>
      </c>
      <c r="BK1" s="954"/>
      <c r="BL1" s="930" t="s">
        <v>515</v>
      </c>
      <c r="BM1" s="930"/>
      <c r="BN1" s="931" t="s">
        <v>921</v>
      </c>
      <c r="BO1" s="931"/>
      <c r="BP1" s="954" t="s">
        <v>549</v>
      </c>
      <c r="BQ1" s="954"/>
      <c r="BR1" s="930" t="s">
        <v>515</v>
      </c>
      <c r="BS1" s="930"/>
      <c r="BT1" s="931" t="s">
        <v>903</v>
      </c>
      <c r="BU1" s="931"/>
      <c r="BV1" s="954" t="s">
        <v>704</v>
      </c>
      <c r="BW1" s="954"/>
      <c r="BX1" s="930" t="s">
        <v>705</v>
      </c>
      <c r="BY1" s="930"/>
      <c r="BZ1" s="931" t="s">
        <v>703</v>
      </c>
      <c r="CA1" s="931"/>
      <c r="CB1" s="954" t="s">
        <v>730</v>
      </c>
      <c r="CC1" s="954"/>
      <c r="CD1" s="930" t="s">
        <v>731</v>
      </c>
      <c r="CE1" s="930"/>
      <c r="CF1" s="931" t="s">
        <v>902</v>
      </c>
      <c r="CG1" s="931"/>
      <c r="CH1" s="954" t="s">
        <v>730</v>
      </c>
      <c r="CI1" s="954"/>
      <c r="CJ1" s="930" t="s">
        <v>731</v>
      </c>
      <c r="CK1" s="930"/>
      <c r="CL1" s="931" t="s">
        <v>748</v>
      </c>
      <c r="CM1" s="931"/>
      <c r="CN1" s="954" t="s">
        <v>730</v>
      </c>
      <c r="CO1" s="954"/>
      <c r="CP1" s="930" t="s">
        <v>731</v>
      </c>
      <c r="CQ1" s="930"/>
      <c r="CR1" s="931" t="s">
        <v>901</v>
      </c>
      <c r="CS1" s="931"/>
      <c r="CT1" s="954" t="s">
        <v>730</v>
      </c>
      <c r="CU1" s="954"/>
      <c r="CV1" s="958" t="s">
        <v>731</v>
      </c>
      <c r="CW1" s="958"/>
      <c r="CX1" s="931" t="s">
        <v>769</v>
      </c>
      <c r="CY1" s="931"/>
      <c r="CZ1" s="954" t="s">
        <v>730</v>
      </c>
      <c r="DA1" s="954"/>
      <c r="DB1" s="958" t="s">
        <v>731</v>
      </c>
      <c r="DC1" s="958"/>
      <c r="DD1" s="931" t="s">
        <v>900</v>
      </c>
      <c r="DE1" s="931"/>
      <c r="DF1" s="954" t="s">
        <v>816</v>
      </c>
      <c r="DG1" s="954"/>
      <c r="DH1" s="958" t="s">
        <v>817</v>
      </c>
      <c r="DI1" s="958"/>
      <c r="DJ1" s="931" t="s">
        <v>809</v>
      </c>
      <c r="DK1" s="931"/>
      <c r="DL1" s="954" t="s">
        <v>816</v>
      </c>
      <c r="DM1" s="954"/>
      <c r="DN1" s="958" t="s">
        <v>731</v>
      </c>
      <c r="DO1" s="958"/>
      <c r="DP1" s="931" t="s">
        <v>899</v>
      </c>
      <c r="DQ1" s="931"/>
      <c r="DR1" s="954" t="s">
        <v>816</v>
      </c>
      <c r="DS1" s="954"/>
      <c r="DT1" s="958" t="s">
        <v>731</v>
      </c>
      <c r="DU1" s="958"/>
      <c r="DV1" s="931" t="s">
        <v>898</v>
      </c>
      <c r="DW1" s="931"/>
      <c r="DX1" s="954" t="s">
        <v>816</v>
      </c>
      <c r="DY1" s="954"/>
      <c r="DZ1" s="958" t="s">
        <v>731</v>
      </c>
      <c r="EA1" s="958"/>
      <c r="EB1" s="931" t="s">
        <v>897</v>
      </c>
      <c r="EC1" s="931"/>
      <c r="ED1" s="954" t="s">
        <v>816</v>
      </c>
      <c r="EE1" s="954"/>
      <c r="EF1" s="958" t="s">
        <v>731</v>
      </c>
      <c r="EG1" s="958"/>
      <c r="EH1" s="931" t="s">
        <v>883</v>
      </c>
      <c r="EI1" s="931"/>
      <c r="EJ1" s="954" t="s">
        <v>816</v>
      </c>
      <c r="EK1" s="954"/>
      <c r="EL1" s="958" t="s">
        <v>936</v>
      </c>
      <c r="EM1" s="958"/>
      <c r="EN1" s="931" t="s">
        <v>922</v>
      </c>
      <c r="EO1" s="931"/>
      <c r="EP1" s="954" t="s">
        <v>816</v>
      </c>
      <c r="EQ1" s="954"/>
      <c r="ER1" s="958" t="s">
        <v>950</v>
      </c>
      <c r="ES1" s="958"/>
      <c r="ET1" s="931" t="s">
        <v>937</v>
      </c>
      <c r="EU1" s="931"/>
      <c r="EV1" s="954" t="s">
        <v>816</v>
      </c>
      <c r="EW1" s="954"/>
      <c r="EX1" s="958" t="s">
        <v>530</v>
      </c>
      <c r="EY1" s="958"/>
      <c r="EZ1" s="931" t="s">
        <v>952</v>
      </c>
      <c r="FA1" s="931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57" t="s">
        <v>779</v>
      </c>
      <c r="CU7" s="93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57" t="s">
        <v>778</v>
      </c>
      <c r="DA8" s="93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57" t="s">
        <v>778</v>
      </c>
      <c r="DG8" s="93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57" t="s">
        <v>778</v>
      </c>
      <c r="DM8" s="93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57" t="s">
        <v>778</v>
      </c>
      <c r="DS8" s="931"/>
      <c r="DT8" s="142" t="s">
        <v>783</v>
      </c>
      <c r="DU8" s="142">
        <f>SUM(DU13:DU17)</f>
        <v>32</v>
      </c>
      <c r="DV8" s="63"/>
      <c r="DW8" s="63"/>
      <c r="DX8" s="957" t="s">
        <v>778</v>
      </c>
      <c r="DY8" s="93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57" t="s">
        <v>928</v>
      </c>
      <c r="EK8" s="93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57" t="s">
        <v>928</v>
      </c>
      <c r="EQ9" s="93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57" t="s">
        <v>928</v>
      </c>
      <c r="EW9" s="93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57" t="s">
        <v>928</v>
      </c>
      <c r="EE11" s="93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57" t="s">
        <v>778</v>
      </c>
      <c r="CU12" s="93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20" t="s">
        <v>782</v>
      </c>
      <c r="CU19" s="920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43" t="s">
        <v>858</v>
      </c>
      <c r="FA21" s="943"/>
      <c r="FC21" s="238">
        <f>FC20-FC22</f>
        <v>113457.16899999997</v>
      </c>
      <c r="FD21" s="230"/>
      <c r="FE21" s="959" t="s">
        <v>1546</v>
      </c>
      <c r="FF21" s="959"/>
      <c r="FG21" s="959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43" t="s">
        <v>871</v>
      </c>
      <c r="FA22" s="943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43" t="s">
        <v>1000</v>
      </c>
      <c r="FA23" s="943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43" t="s">
        <v>1076</v>
      </c>
      <c r="FA24" s="943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55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56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55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56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Q79"/>
  <sheetViews>
    <sheetView tabSelected="1" topLeftCell="KI1" zoomScaleNormal="100" workbookViewId="0">
      <selection activeCell="KN21" sqref="KN21:KO21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59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8.7109375" style="890" customWidth="1"/>
    <col min="295" max="295" width="8" style="890" customWidth="1"/>
    <col min="296" max="296" width="16.7109375" style="890" customWidth="1"/>
    <col min="297" max="297" width="10.140625" style="890" bestFit="1" customWidth="1"/>
    <col min="298" max="298" width="16.85546875" style="890" customWidth="1"/>
    <col min="299" max="299" width="14.5703125" style="890" bestFit="1" customWidth="1"/>
    <col min="300" max="300" width="19" style="890" bestFit="1" customWidth="1"/>
    <col min="301" max="301" width="8.140625" style="890" bestFit="1" customWidth="1"/>
    <col min="302" max="302" width="6.85546875" style="890" bestFit="1" customWidth="1"/>
  </cols>
  <sheetData>
    <row r="1" spans="1:303" s="142" customFormat="1">
      <c r="A1" s="969" t="s">
        <v>1209</v>
      </c>
      <c r="B1" s="969"/>
      <c r="C1" s="928" t="s">
        <v>292</v>
      </c>
      <c r="D1" s="928"/>
      <c r="E1" s="926" t="s">
        <v>1010</v>
      </c>
      <c r="F1" s="926"/>
      <c r="G1" s="969" t="s">
        <v>1210</v>
      </c>
      <c r="H1" s="969"/>
      <c r="I1" s="928" t="s">
        <v>292</v>
      </c>
      <c r="J1" s="928"/>
      <c r="K1" s="926" t="s">
        <v>1011</v>
      </c>
      <c r="L1" s="926"/>
      <c r="M1" s="969" t="s">
        <v>1211</v>
      </c>
      <c r="N1" s="969"/>
      <c r="O1" s="928" t="s">
        <v>292</v>
      </c>
      <c r="P1" s="928"/>
      <c r="Q1" s="926" t="s">
        <v>1057</v>
      </c>
      <c r="R1" s="926"/>
      <c r="S1" s="969" t="s">
        <v>1212</v>
      </c>
      <c r="T1" s="969"/>
      <c r="U1" s="928" t="s">
        <v>292</v>
      </c>
      <c r="V1" s="928"/>
      <c r="W1" s="926" t="s">
        <v>627</v>
      </c>
      <c r="X1" s="926"/>
      <c r="Y1" s="969" t="s">
        <v>1213</v>
      </c>
      <c r="Z1" s="969"/>
      <c r="AA1" s="928" t="s">
        <v>292</v>
      </c>
      <c r="AB1" s="928"/>
      <c r="AC1" s="926" t="s">
        <v>1084</v>
      </c>
      <c r="AD1" s="926"/>
      <c r="AE1" s="969" t="s">
        <v>1214</v>
      </c>
      <c r="AF1" s="969"/>
      <c r="AG1" s="928" t="s">
        <v>292</v>
      </c>
      <c r="AH1" s="928"/>
      <c r="AI1" s="926" t="s">
        <v>1134</v>
      </c>
      <c r="AJ1" s="926"/>
      <c r="AK1" s="969" t="s">
        <v>1217</v>
      </c>
      <c r="AL1" s="969"/>
      <c r="AM1" s="928" t="s">
        <v>1132</v>
      </c>
      <c r="AN1" s="928"/>
      <c r="AO1" s="926" t="s">
        <v>1133</v>
      </c>
      <c r="AP1" s="926"/>
      <c r="AQ1" s="969" t="s">
        <v>1218</v>
      </c>
      <c r="AR1" s="969"/>
      <c r="AS1" s="928" t="s">
        <v>1132</v>
      </c>
      <c r="AT1" s="928"/>
      <c r="AU1" s="926" t="s">
        <v>1178</v>
      </c>
      <c r="AV1" s="926"/>
      <c r="AW1" s="969" t="s">
        <v>1215</v>
      </c>
      <c r="AX1" s="969"/>
      <c r="AY1" s="926" t="s">
        <v>1241</v>
      </c>
      <c r="AZ1" s="926"/>
      <c r="BA1" s="969" t="s">
        <v>1215</v>
      </c>
      <c r="BB1" s="969"/>
      <c r="BC1" s="928" t="s">
        <v>816</v>
      </c>
      <c r="BD1" s="928"/>
      <c r="BE1" s="926" t="s">
        <v>1208</v>
      </c>
      <c r="BF1" s="926"/>
      <c r="BG1" s="969" t="s">
        <v>1216</v>
      </c>
      <c r="BH1" s="969"/>
      <c r="BI1" s="928" t="s">
        <v>816</v>
      </c>
      <c r="BJ1" s="928"/>
      <c r="BK1" s="926" t="s">
        <v>1208</v>
      </c>
      <c r="BL1" s="926"/>
      <c r="BM1" s="969" t="s">
        <v>1226</v>
      </c>
      <c r="BN1" s="969"/>
      <c r="BO1" s="928" t="s">
        <v>816</v>
      </c>
      <c r="BP1" s="928"/>
      <c r="BQ1" s="926" t="s">
        <v>1244</v>
      </c>
      <c r="BR1" s="926"/>
      <c r="BS1" s="969" t="s">
        <v>1243</v>
      </c>
      <c r="BT1" s="969"/>
      <c r="BU1" s="928" t="s">
        <v>816</v>
      </c>
      <c r="BV1" s="928"/>
      <c r="BW1" s="926" t="s">
        <v>1248</v>
      </c>
      <c r="BX1" s="926"/>
      <c r="BY1" s="969" t="s">
        <v>1270</v>
      </c>
      <c r="BZ1" s="969"/>
      <c r="CA1" s="928" t="s">
        <v>816</v>
      </c>
      <c r="CB1" s="928"/>
      <c r="CC1" s="926" t="s">
        <v>1244</v>
      </c>
      <c r="CD1" s="926"/>
      <c r="CE1" s="969" t="s">
        <v>1291</v>
      </c>
      <c r="CF1" s="969"/>
      <c r="CG1" s="928" t="s">
        <v>816</v>
      </c>
      <c r="CH1" s="928"/>
      <c r="CI1" s="926" t="s">
        <v>1248</v>
      </c>
      <c r="CJ1" s="926"/>
      <c r="CK1" s="969" t="s">
        <v>1307</v>
      </c>
      <c r="CL1" s="969"/>
      <c r="CM1" s="928" t="s">
        <v>816</v>
      </c>
      <c r="CN1" s="928"/>
      <c r="CO1" s="926" t="s">
        <v>1244</v>
      </c>
      <c r="CP1" s="926"/>
      <c r="CQ1" s="969" t="s">
        <v>1335</v>
      </c>
      <c r="CR1" s="969"/>
      <c r="CS1" s="963" t="s">
        <v>816</v>
      </c>
      <c r="CT1" s="963"/>
      <c r="CU1" s="926" t="s">
        <v>1391</v>
      </c>
      <c r="CV1" s="926"/>
      <c r="CW1" s="969" t="s">
        <v>1374</v>
      </c>
      <c r="CX1" s="969"/>
      <c r="CY1" s="963" t="s">
        <v>816</v>
      </c>
      <c r="CZ1" s="963"/>
      <c r="DA1" s="926" t="s">
        <v>1597</v>
      </c>
      <c r="DB1" s="926"/>
      <c r="DC1" s="969" t="s">
        <v>1394</v>
      </c>
      <c r="DD1" s="969"/>
      <c r="DE1" s="963" t="s">
        <v>816</v>
      </c>
      <c r="DF1" s="963"/>
      <c r="DG1" s="926" t="s">
        <v>1491</v>
      </c>
      <c r="DH1" s="926"/>
      <c r="DI1" s="969" t="s">
        <v>1594</v>
      </c>
      <c r="DJ1" s="969"/>
      <c r="DK1" s="963" t="s">
        <v>816</v>
      </c>
      <c r="DL1" s="963"/>
      <c r="DM1" s="926" t="s">
        <v>1391</v>
      </c>
      <c r="DN1" s="926"/>
      <c r="DO1" s="969" t="s">
        <v>1595</v>
      </c>
      <c r="DP1" s="969"/>
      <c r="DQ1" s="963" t="s">
        <v>816</v>
      </c>
      <c r="DR1" s="963"/>
      <c r="DS1" s="926" t="s">
        <v>1590</v>
      </c>
      <c r="DT1" s="926"/>
      <c r="DU1" s="969" t="s">
        <v>1596</v>
      </c>
      <c r="DV1" s="969"/>
      <c r="DW1" s="963" t="s">
        <v>816</v>
      </c>
      <c r="DX1" s="963"/>
      <c r="DY1" s="926" t="s">
        <v>1616</v>
      </c>
      <c r="DZ1" s="926"/>
      <c r="EA1" s="962" t="s">
        <v>1611</v>
      </c>
      <c r="EB1" s="962"/>
      <c r="EC1" s="963" t="s">
        <v>816</v>
      </c>
      <c r="ED1" s="963"/>
      <c r="EE1" s="926" t="s">
        <v>1590</v>
      </c>
      <c r="EF1" s="926"/>
      <c r="EG1" s="361"/>
      <c r="EH1" s="962" t="s">
        <v>1641</v>
      </c>
      <c r="EI1" s="962"/>
      <c r="EJ1" s="963" t="s">
        <v>816</v>
      </c>
      <c r="EK1" s="963"/>
      <c r="EL1" s="926" t="s">
        <v>1675</v>
      </c>
      <c r="EM1" s="926"/>
      <c r="EN1" s="962" t="s">
        <v>1666</v>
      </c>
      <c r="EO1" s="962"/>
      <c r="EP1" s="963" t="s">
        <v>816</v>
      </c>
      <c r="EQ1" s="963"/>
      <c r="ER1" s="926" t="s">
        <v>1715</v>
      </c>
      <c r="ES1" s="926"/>
      <c r="ET1" s="962" t="s">
        <v>1708</v>
      </c>
      <c r="EU1" s="962"/>
      <c r="EV1" s="963" t="s">
        <v>816</v>
      </c>
      <c r="EW1" s="963"/>
      <c r="EX1" s="926" t="s">
        <v>1616</v>
      </c>
      <c r="EY1" s="926"/>
      <c r="EZ1" s="962" t="s">
        <v>1743</v>
      </c>
      <c r="FA1" s="962"/>
      <c r="FB1" s="963" t="s">
        <v>816</v>
      </c>
      <c r="FC1" s="963"/>
      <c r="FD1" s="926" t="s">
        <v>1597</v>
      </c>
      <c r="FE1" s="926"/>
      <c r="FF1" s="962" t="s">
        <v>1782</v>
      </c>
      <c r="FG1" s="962"/>
      <c r="FH1" s="963" t="s">
        <v>816</v>
      </c>
      <c r="FI1" s="963"/>
      <c r="FJ1" s="926" t="s">
        <v>1391</v>
      </c>
      <c r="FK1" s="926"/>
      <c r="FL1" s="962" t="s">
        <v>1817</v>
      </c>
      <c r="FM1" s="962"/>
      <c r="FN1" s="963" t="s">
        <v>816</v>
      </c>
      <c r="FO1" s="963"/>
      <c r="FP1" s="926" t="s">
        <v>1864</v>
      </c>
      <c r="FQ1" s="926"/>
      <c r="FR1" s="962" t="s">
        <v>1853</v>
      </c>
      <c r="FS1" s="962"/>
      <c r="FT1" s="963" t="s">
        <v>816</v>
      </c>
      <c r="FU1" s="963"/>
      <c r="FV1" s="926" t="s">
        <v>1864</v>
      </c>
      <c r="FW1" s="926"/>
      <c r="FX1" s="962" t="s">
        <v>1996</v>
      </c>
      <c r="FY1" s="962"/>
      <c r="FZ1" s="963" t="s">
        <v>816</v>
      </c>
      <c r="GA1" s="963"/>
      <c r="GB1" s="926" t="s">
        <v>1616</v>
      </c>
      <c r="GC1" s="926"/>
      <c r="GD1" s="962" t="s">
        <v>1997</v>
      </c>
      <c r="GE1" s="962"/>
      <c r="GF1" s="963" t="s">
        <v>816</v>
      </c>
      <c r="GG1" s="963"/>
      <c r="GH1" s="926" t="s">
        <v>1590</v>
      </c>
      <c r="GI1" s="926"/>
      <c r="GJ1" s="962" t="s">
        <v>2006</v>
      </c>
      <c r="GK1" s="962"/>
      <c r="GL1" s="963" t="s">
        <v>816</v>
      </c>
      <c r="GM1" s="963"/>
      <c r="GN1" s="926" t="s">
        <v>1590</v>
      </c>
      <c r="GO1" s="926"/>
      <c r="GP1" s="962" t="s">
        <v>2048</v>
      </c>
      <c r="GQ1" s="962"/>
      <c r="GR1" s="963" t="s">
        <v>816</v>
      </c>
      <c r="GS1" s="963"/>
      <c r="GT1" s="926" t="s">
        <v>1675</v>
      </c>
      <c r="GU1" s="926"/>
      <c r="GV1" s="962" t="s">
        <v>2082</v>
      </c>
      <c r="GW1" s="962"/>
      <c r="GX1" s="963" t="s">
        <v>816</v>
      </c>
      <c r="GY1" s="963"/>
      <c r="GZ1" s="926" t="s">
        <v>2121</v>
      </c>
      <c r="HA1" s="926"/>
      <c r="HB1" s="962" t="s">
        <v>2141</v>
      </c>
      <c r="HC1" s="962"/>
      <c r="HD1" s="963" t="s">
        <v>816</v>
      </c>
      <c r="HE1" s="963"/>
      <c r="HF1" s="926" t="s">
        <v>1715</v>
      </c>
      <c r="HG1" s="926"/>
      <c r="HH1" s="962" t="s">
        <v>2154</v>
      </c>
      <c r="HI1" s="962"/>
      <c r="HJ1" s="963" t="s">
        <v>816</v>
      </c>
      <c r="HK1" s="963"/>
      <c r="HL1" s="926" t="s">
        <v>1391</v>
      </c>
      <c r="HM1" s="926"/>
      <c r="HN1" s="962" t="s">
        <v>2200</v>
      </c>
      <c r="HO1" s="962"/>
      <c r="HP1" s="963" t="s">
        <v>816</v>
      </c>
      <c r="HQ1" s="963"/>
      <c r="HR1" s="926" t="s">
        <v>1391</v>
      </c>
      <c r="HS1" s="926"/>
      <c r="HT1" s="962" t="s">
        <v>2241</v>
      </c>
      <c r="HU1" s="962"/>
      <c r="HV1" s="963" t="s">
        <v>816</v>
      </c>
      <c r="HW1" s="963"/>
      <c r="HX1" s="926" t="s">
        <v>1616</v>
      </c>
      <c r="HY1" s="926"/>
      <c r="HZ1" s="962" t="s">
        <v>2297</v>
      </c>
      <c r="IA1" s="962"/>
      <c r="IB1" s="963" t="s">
        <v>816</v>
      </c>
      <c r="IC1" s="963"/>
      <c r="ID1" s="926" t="s">
        <v>1715</v>
      </c>
      <c r="IE1" s="926"/>
      <c r="IF1" s="962" t="s">
        <v>2363</v>
      </c>
      <c r="IG1" s="962"/>
      <c r="IH1" s="963" t="s">
        <v>816</v>
      </c>
      <c r="II1" s="963"/>
      <c r="IJ1" s="926" t="s">
        <v>1590</v>
      </c>
      <c r="IK1" s="926"/>
      <c r="IL1" s="962" t="s">
        <v>2436</v>
      </c>
      <c r="IM1" s="962"/>
      <c r="IN1" s="963" t="s">
        <v>816</v>
      </c>
      <c r="IO1" s="963"/>
      <c r="IP1" s="926" t="s">
        <v>1616</v>
      </c>
      <c r="IQ1" s="926"/>
      <c r="IR1" s="962" t="s">
        <v>2648</v>
      </c>
      <c r="IS1" s="962"/>
      <c r="IT1" s="963" t="s">
        <v>816</v>
      </c>
      <c r="IU1" s="963"/>
      <c r="IV1" s="926" t="s">
        <v>1748</v>
      </c>
      <c r="IW1" s="926"/>
      <c r="IX1" s="962" t="s">
        <v>2647</v>
      </c>
      <c r="IY1" s="962"/>
      <c r="IZ1" s="963" t="s">
        <v>816</v>
      </c>
      <c r="JA1" s="963"/>
      <c r="JB1" s="926" t="s">
        <v>1864</v>
      </c>
      <c r="JC1" s="926"/>
      <c r="JD1" s="962" t="s">
        <v>2691</v>
      </c>
      <c r="JE1" s="962"/>
      <c r="JF1" s="963" t="s">
        <v>816</v>
      </c>
      <c r="JG1" s="963"/>
      <c r="JH1" s="926" t="s">
        <v>1748</v>
      </c>
      <c r="JI1" s="926"/>
      <c r="JJ1" s="962" t="s">
        <v>2746</v>
      </c>
      <c r="JK1" s="962"/>
      <c r="JL1" s="713" t="s">
        <v>816</v>
      </c>
      <c r="JM1" s="713"/>
      <c r="JN1" s="710" t="s">
        <v>1748</v>
      </c>
      <c r="JO1" s="710"/>
      <c r="JP1" s="712" t="s">
        <v>2800</v>
      </c>
      <c r="JQ1" s="712"/>
      <c r="JR1" s="759" t="s">
        <v>816</v>
      </c>
      <c r="JS1" s="759"/>
      <c r="JT1" s="756" t="s">
        <v>1748</v>
      </c>
      <c r="JU1" s="756"/>
      <c r="JV1" s="758" t="s">
        <v>2846</v>
      </c>
      <c r="JW1" s="758"/>
      <c r="JX1" s="797" t="s">
        <v>816</v>
      </c>
      <c r="JY1" s="797"/>
      <c r="JZ1" s="795" t="s">
        <v>1748</v>
      </c>
      <c r="KA1" s="795"/>
      <c r="KB1" s="853" t="s">
        <v>2951</v>
      </c>
      <c r="KC1" s="860"/>
      <c r="KD1" s="850" t="s">
        <v>816</v>
      </c>
      <c r="KE1" s="850"/>
      <c r="KF1" s="848" t="s">
        <v>1748</v>
      </c>
      <c r="KG1" s="848"/>
      <c r="KH1" s="891" t="s">
        <v>3005</v>
      </c>
      <c r="KI1" s="891"/>
      <c r="KJ1" s="892" t="s">
        <v>816</v>
      </c>
      <c r="KK1" s="892"/>
      <c r="KL1" s="889" t="s">
        <v>1748</v>
      </c>
      <c r="KM1" s="889"/>
      <c r="KN1" s="891" t="s">
        <v>3016</v>
      </c>
      <c r="KO1" s="891"/>
      <c r="KP1" s="580"/>
    </row>
    <row r="2" spans="1:303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SUM(KC3:KC28)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KE2+KC2-KI5</f>
        <v>364950.11500000005</v>
      </c>
      <c r="KH2" s="906" t="s">
        <v>3030</v>
      </c>
      <c r="KI2" s="268">
        <f>KI5+KI3</f>
        <v>80796.44</v>
      </c>
      <c r="KJ2" s="890" t="s">
        <v>295</v>
      </c>
      <c r="KK2" s="492">
        <f>SUM(KK4:KK26)</f>
        <v>-718.59000000000117</v>
      </c>
      <c r="KL2" s="334" t="s">
        <v>296</v>
      </c>
      <c r="KM2" s="273">
        <f>KK2+KI5-KO4</f>
        <v>73733.98000000001</v>
      </c>
      <c r="KN2" s="890" t="s">
        <v>3025</v>
      </c>
      <c r="KO2" s="268">
        <f>SUM(KO3:KO4)</f>
        <v>56343.869999999995</v>
      </c>
      <c r="KP2" s="606"/>
    </row>
    <row r="3" spans="1:303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6"/>
      <c r="IY3" s="363"/>
      <c r="IZ3" s="654"/>
      <c r="JA3" s="492"/>
      <c r="JB3" s="616" t="s">
        <v>2393</v>
      </c>
      <c r="JC3" s="273">
        <f>JC2-JA30-JA29</f>
        <v>5095.8330000000415</v>
      </c>
      <c r="JD3" s="766"/>
      <c r="JE3" s="363"/>
      <c r="JG3" s="492"/>
      <c r="JH3" s="662" t="s">
        <v>2393</v>
      </c>
      <c r="JI3" s="273">
        <f>JI2-JG29-JG28</f>
        <v>5318.7558739726428</v>
      </c>
      <c r="JJ3" s="766"/>
      <c r="JK3" s="363"/>
      <c r="JM3" s="492"/>
      <c r="JN3" s="711" t="s">
        <v>2393</v>
      </c>
      <c r="JO3" s="273">
        <f>JO2-JM28-JM27</f>
        <v>7527.189000000023</v>
      </c>
      <c r="JP3" s="711" t="s">
        <v>2819</v>
      </c>
      <c r="JQ3" s="203">
        <f>$IA$6</f>
        <v>0</v>
      </c>
      <c r="JS3" s="492"/>
      <c r="JT3" s="757" t="s">
        <v>2393</v>
      </c>
      <c r="JU3" s="273">
        <f>JU2-JS26-JS25</f>
        <v>4220.0940000000155</v>
      </c>
      <c r="JV3" s="778" t="s">
        <v>2342</v>
      </c>
      <c r="JW3" s="203">
        <f>$IA$6</f>
        <v>0</v>
      </c>
      <c r="JY3" s="492"/>
      <c r="JZ3" s="796" t="s">
        <v>2393</v>
      </c>
      <c r="KA3" s="273">
        <f>KA2-JY41-JY40</f>
        <v>6486.8099999999822</v>
      </c>
      <c r="KB3" s="866" t="s">
        <v>2960</v>
      </c>
      <c r="KC3" s="268">
        <v>-71000</v>
      </c>
      <c r="KE3" s="492"/>
      <c r="KF3" s="849" t="s">
        <v>2393</v>
      </c>
      <c r="KG3" s="273">
        <f>KG2-KE30-KE29</f>
        <v>2811.6650000000627</v>
      </c>
      <c r="KH3" s="906" t="s">
        <v>3026</v>
      </c>
      <c r="KI3" s="268">
        <v>-100000</v>
      </c>
      <c r="KK3" s="492"/>
      <c r="KL3" s="890" t="s">
        <v>2393</v>
      </c>
      <c r="KM3" s="273">
        <f>KM2-KK31-KK30</f>
        <v>2395.9040000000095</v>
      </c>
      <c r="KN3" s="890" t="s">
        <v>3027</v>
      </c>
      <c r="KO3" s="268">
        <v>-50000</v>
      </c>
      <c r="KP3" s="606"/>
    </row>
    <row r="4" spans="1:303" ht="12.75" customHeight="1" thickBot="1">
      <c r="A4" s="923" t="s">
        <v>991</v>
      </c>
      <c r="B4" s="923"/>
      <c r="E4" s="170" t="s">
        <v>233</v>
      </c>
      <c r="F4" s="174">
        <f>F3-F5</f>
        <v>17</v>
      </c>
      <c r="G4" s="923" t="s">
        <v>991</v>
      </c>
      <c r="H4" s="923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8" t="s">
        <v>2650</v>
      </c>
      <c r="IU4" s="541">
        <v>-1437.02</v>
      </c>
      <c r="IV4" s="669" t="s">
        <v>2442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2442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2771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2771</v>
      </c>
      <c r="JW4" s="268">
        <f>$JQ$4</f>
        <v>-211000</v>
      </c>
      <c r="JX4" s="796" t="s">
        <v>2956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2961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I4" s="268"/>
      <c r="KJ4" s="890" t="s">
        <v>633</v>
      </c>
      <c r="KK4" s="541"/>
      <c r="KL4" s="890" t="s">
        <v>1203</v>
      </c>
      <c r="KM4" s="286">
        <f>KM2-KM5</f>
        <v>0.430000000007567</v>
      </c>
      <c r="KN4" s="890" t="s">
        <v>3006</v>
      </c>
      <c r="KO4" s="363">
        <f>SUM(KO5:KO34)</f>
        <v>106343.87</v>
      </c>
      <c r="KP4" s="606"/>
      <c r="KQ4" s="905"/>
    </row>
    <row r="5" spans="1:303">
      <c r="A5" s="923"/>
      <c r="B5" s="923"/>
      <c r="E5" s="170" t="s">
        <v>352</v>
      </c>
      <c r="F5" s="174">
        <f>SUM(F15:F58)</f>
        <v>12750</v>
      </c>
      <c r="G5" s="923"/>
      <c r="H5" s="923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4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6" t="s">
        <v>2650</v>
      </c>
      <c r="JA5" s="541">
        <v>-71</v>
      </c>
      <c r="JB5" s="616" t="s">
        <v>1203</v>
      </c>
      <c r="JC5" s="286">
        <f>JC2-JC6</f>
        <v>-3.9079999999557913</v>
      </c>
      <c r="JD5" s="616" t="s">
        <v>2342</v>
      </c>
      <c r="JE5" s="268">
        <f>$IA$6</f>
        <v>0</v>
      </c>
      <c r="JF5" s="662" t="s">
        <v>2650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2342</v>
      </c>
      <c r="JK5" s="203">
        <f>$IA$6</f>
        <v>0</v>
      </c>
      <c r="JL5" s="711" t="s">
        <v>2594</v>
      </c>
      <c r="JM5" s="492">
        <v>-1400</v>
      </c>
      <c r="JN5" s="711" t="s">
        <v>352</v>
      </c>
      <c r="JO5" s="273">
        <f>SUM(JO6:JO51)</f>
        <v>126905.181</v>
      </c>
      <c r="JP5" s="717" t="s">
        <v>2664</v>
      </c>
      <c r="JQ5" s="442">
        <v>-80000</v>
      </c>
      <c r="JR5" s="779" t="s">
        <v>3053</v>
      </c>
      <c r="JS5" s="541">
        <v>-30</v>
      </c>
      <c r="JT5" s="757" t="s">
        <v>352</v>
      </c>
      <c r="JU5" s="273">
        <f>SUM(JU6:JU50)</f>
        <v>13510.48</v>
      </c>
      <c r="JV5" s="762" t="s">
        <v>2664</v>
      </c>
      <c r="JW5" s="442">
        <v>-77000</v>
      </c>
      <c r="JX5" s="796" t="s">
        <v>3054</v>
      </c>
      <c r="JY5" s="541">
        <v>-30</v>
      </c>
      <c r="JZ5" s="796" t="s">
        <v>352</v>
      </c>
      <c r="KA5" s="273">
        <f>SUM(KA6:KA73)</f>
        <v>20398.781431282358</v>
      </c>
      <c r="KB5" s="866" t="s">
        <v>2962</v>
      </c>
      <c r="KC5" s="268">
        <f>-135000</f>
        <v>-135000</v>
      </c>
      <c r="KD5" s="849" t="s">
        <v>2964</v>
      </c>
      <c r="KE5" s="541">
        <v>-107.13</v>
      </c>
      <c r="KF5" s="849" t="s">
        <v>352</v>
      </c>
      <c r="KG5" s="273">
        <f>SUM(KG6:KG49)</f>
        <v>364950.29100000003</v>
      </c>
      <c r="KH5" s="890" t="s">
        <v>3029</v>
      </c>
      <c r="KI5" s="363">
        <f>SUM(KI6:KI37)</f>
        <v>180796.44</v>
      </c>
      <c r="KJ5" s="890" t="s">
        <v>2650</v>
      </c>
      <c r="KK5" s="541"/>
      <c r="KL5" s="890" t="s">
        <v>352</v>
      </c>
      <c r="KM5" s="273">
        <f>SUM(KM6:KM54)</f>
        <v>73733.55</v>
      </c>
      <c r="KN5" s="905" t="s">
        <v>3022</v>
      </c>
      <c r="KO5" s="268">
        <v>-70600</v>
      </c>
      <c r="KP5" s="606"/>
      <c r="KQ5" s="905"/>
    </row>
    <row r="6" spans="1:303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10" t="s">
        <v>2598</v>
      </c>
      <c r="IY6" s="611">
        <v>0.13300000000000001</v>
      </c>
      <c r="IZ6" s="616" t="s">
        <v>2594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2771</v>
      </c>
      <c r="JE6" s="268">
        <f>-140000-71000</f>
        <v>-211000</v>
      </c>
      <c r="JF6" s="662" t="s">
        <v>2594</v>
      </c>
      <c r="JG6" s="492">
        <v>-1401</v>
      </c>
      <c r="JH6" s="192" t="s">
        <v>2713</v>
      </c>
      <c r="JI6" s="580">
        <v>2000.06</v>
      </c>
      <c r="JJ6" s="733" t="s">
        <v>2771</v>
      </c>
      <c r="JK6" s="268">
        <v>-71000</v>
      </c>
      <c r="JM6" s="492"/>
      <c r="JN6" s="192" t="s">
        <v>2762</v>
      </c>
      <c r="JO6" s="580">
        <v>1000.07</v>
      </c>
      <c r="JP6" s="838" t="s">
        <v>2920</v>
      </c>
      <c r="JQ6" s="442"/>
      <c r="JR6" s="757" t="s">
        <v>2650</v>
      </c>
      <c r="JS6" s="541" t="s">
        <v>2811</v>
      </c>
      <c r="JT6" s="815" t="s">
        <v>2905</v>
      </c>
      <c r="JU6" s="839">
        <v>2000</v>
      </c>
      <c r="JV6" s="763" t="s">
        <v>2663</v>
      </c>
      <c r="JW6" s="268">
        <v>-4000</v>
      </c>
      <c r="JX6" s="844" t="s">
        <v>2594</v>
      </c>
      <c r="JY6" s="492">
        <v>-1800</v>
      </c>
      <c r="JZ6" s="815" t="s">
        <v>2896</v>
      </c>
      <c r="KA6" s="61">
        <v>1000.08</v>
      </c>
      <c r="KB6" s="856" t="s">
        <v>2664</v>
      </c>
      <c r="KC6" s="442">
        <v>-82000</v>
      </c>
      <c r="KE6" s="492"/>
      <c r="KF6" s="815" t="s">
        <v>1002</v>
      </c>
      <c r="KG6" s="580">
        <v>1900.09</v>
      </c>
      <c r="KH6" s="905" t="s">
        <v>3022</v>
      </c>
      <c r="KI6" s="268">
        <v>-70600</v>
      </c>
      <c r="KJ6" s="890" t="s">
        <v>3034</v>
      </c>
      <c r="KK6" s="492">
        <v>-5.01</v>
      </c>
      <c r="KL6" s="815" t="s">
        <v>1002</v>
      </c>
      <c r="KM6" s="580"/>
      <c r="KN6" s="905" t="s">
        <v>3079</v>
      </c>
      <c r="KO6" s="268">
        <v>-130947</v>
      </c>
      <c r="KP6" s="607">
        <v>45181</v>
      </c>
    </row>
    <row r="7" spans="1:303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8" t="s">
        <v>2664</v>
      </c>
      <c r="IY7" s="272">
        <v>-75000</v>
      </c>
      <c r="IZ7" s="654" t="s">
        <v>2665</v>
      </c>
      <c r="JA7" s="492">
        <v>-30</v>
      </c>
      <c r="JB7" s="192" t="s">
        <v>1002</v>
      </c>
      <c r="JC7" s="61">
        <v>1900.03</v>
      </c>
      <c r="JD7" s="619" t="s">
        <v>2664</v>
      </c>
      <c r="JE7" s="272">
        <v>-75000</v>
      </c>
      <c r="JG7" s="492"/>
      <c r="JH7" s="192" t="s">
        <v>1002</v>
      </c>
      <c r="JI7" s="61">
        <v>1900.04</v>
      </c>
      <c r="JJ7" s="665" t="s">
        <v>2664</v>
      </c>
      <c r="JK7" s="272">
        <v>-75000</v>
      </c>
      <c r="JL7" s="711" t="s">
        <v>2519</v>
      </c>
      <c r="JM7" s="492"/>
      <c r="JN7" s="192" t="s">
        <v>1002</v>
      </c>
      <c r="JO7" s="61">
        <v>1900.05</v>
      </c>
      <c r="JP7" s="718" t="s">
        <v>2663</v>
      </c>
      <c r="JQ7" s="268">
        <v>-4000</v>
      </c>
      <c r="JR7" s="779" t="s">
        <v>2839</v>
      </c>
      <c r="JS7" s="541">
        <v>236.43</v>
      </c>
      <c r="JT7" s="815" t="s">
        <v>1002</v>
      </c>
      <c r="JU7" s="580">
        <v>1900.06</v>
      </c>
      <c r="JV7" s="757" t="s">
        <v>2785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2663</v>
      </c>
      <c r="KC7" s="268">
        <v>-4000</v>
      </c>
      <c r="KD7" s="849" t="s">
        <v>2974</v>
      </c>
      <c r="KE7" s="903">
        <f>ABS(KC3+KC4)</f>
        <v>211000</v>
      </c>
      <c r="KF7" s="346" t="s">
        <v>2982</v>
      </c>
      <c r="KG7" s="849">
        <v>10.25</v>
      </c>
      <c r="KH7" s="890" t="s">
        <v>3023</v>
      </c>
      <c r="KI7" s="268">
        <f>-135000</f>
        <v>-135000</v>
      </c>
      <c r="KJ7" s="909" t="s">
        <v>3075</v>
      </c>
      <c r="KK7" s="492">
        <v>-1800</v>
      </c>
      <c r="KL7" s="389" t="s">
        <v>1863</v>
      </c>
      <c r="KM7" s="61"/>
      <c r="KN7" s="916" t="s">
        <v>3018</v>
      </c>
      <c r="KO7" s="268" t="s">
        <v>3103</v>
      </c>
      <c r="KP7" s="607"/>
      <c r="KQ7" s="916"/>
    </row>
    <row r="8" spans="1:303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2663</v>
      </c>
      <c r="IY8" s="268">
        <v>-4000</v>
      </c>
      <c r="IZ8" s="668"/>
      <c r="JA8" s="492"/>
      <c r="JB8" s="389" t="s">
        <v>2673</v>
      </c>
      <c r="JC8" s="61">
        <v>300.27999999999997</v>
      </c>
      <c r="JD8" s="620" t="s">
        <v>2663</v>
      </c>
      <c r="JE8" s="268">
        <v>-4000</v>
      </c>
      <c r="JF8" s="662" t="s">
        <v>2519</v>
      </c>
      <c r="JG8" s="492"/>
      <c r="JH8" s="389" t="s">
        <v>2731</v>
      </c>
      <c r="JI8" s="61">
        <v>327.74</v>
      </c>
      <c r="JJ8" s="666" t="s">
        <v>2663</v>
      </c>
      <c r="JK8" s="268">
        <v>-4000</v>
      </c>
      <c r="JL8" s="609" t="s">
        <v>2750</v>
      </c>
      <c r="JM8" s="711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7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6" t="s">
        <v>2933</v>
      </c>
      <c r="JY8" s="541">
        <v>60</v>
      </c>
      <c r="JZ8" s="815" t="s">
        <v>1002</v>
      </c>
      <c r="KA8" s="852">
        <v>1900.08</v>
      </c>
      <c r="KB8" s="852" t="s">
        <v>2785</v>
      </c>
      <c r="KC8" s="268">
        <v>640008</v>
      </c>
      <c r="KD8" s="849" t="s">
        <v>2973</v>
      </c>
      <c r="KE8" s="494"/>
      <c r="KF8" s="333" t="s">
        <v>2976</v>
      </c>
      <c r="KG8" s="442">
        <v>7000</v>
      </c>
      <c r="KH8" s="905" t="s">
        <v>3018</v>
      </c>
      <c r="KI8" s="492">
        <v>4053</v>
      </c>
      <c r="KJ8" s="908" t="s">
        <v>3081</v>
      </c>
      <c r="KK8" s="725">
        <v>1.77</v>
      </c>
      <c r="KL8" s="346" t="s">
        <v>3057</v>
      </c>
      <c r="KM8" s="890">
        <v>1112.4000000000001</v>
      </c>
      <c r="KN8" s="896" t="s">
        <v>2664</v>
      </c>
      <c r="KO8" s="442">
        <v>-82000</v>
      </c>
      <c r="KP8" s="607"/>
    </row>
    <row r="9" spans="1:303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1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9" t="s">
        <v>2747</v>
      </c>
      <c r="JH9" s="346" t="s">
        <v>3055</v>
      </c>
      <c r="JI9" s="61">
        <v>1954.8</v>
      </c>
      <c r="JJ9" s="254" t="s">
        <v>2596</v>
      </c>
      <c r="JK9" s="2">
        <f>100*(120+1000+330+310)</f>
        <v>176000</v>
      </c>
      <c r="JL9" s="711" t="s">
        <v>2791</v>
      </c>
      <c r="JM9" s="711">
        <v>4.09</v>
      </c>
      <c r="JN9" s="389" t="s">
        <v>2752</v>
      </c>
      <c r="JO9" s="61">
        <v>127.14</v>
      </c>
      <c r="JP9" s="711" t="s">
        <v>2785</v>
      </c>
      <c r="JQ9" s="268">
        <v>515008</v>
      </c>
      <c r="JR9" s="609" t="s">
        <v>2824</v>
      </c>
      <c r="JS9" s="757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5" t="s">
        <v>2952</v>
      </c>
      <c r="KA9" s="61">
        <f>27+270.45+2700</f>
        <v>2997.45</v>
      </c>
      <c r="KB9" s="320" t="s">
        <v>2460</v>
      </c>
      <c r="KC9" s="403">
        <v>0</v>
      </c>
      <c r="KD9" s="890"/>
      <c r="KE9" s="494"/>
      <c r="KF9" s="333" t="s">
        <v>2992</v>
      </c>
      <c r="KG9" s="442">
        <v>150000</v>
      </c>
      <c r="KH9" s="907" t="s">
        <v>3031</v>
      </c>
      <c r="KI9" s="492"/>
      <c r="KJ9" s="913"/>
      <c r="KK9" s="492"/>
      <c r="KL9" s="346" t="s">
        <v>3093</v>
      </c>
      <c r="KM9" s="61">
        <v>9.4499999999999993</v>
      </c>
      <c r="KN9" s="897" t="s">
        <v>2663</v>
      </c>
      <c r="KO9" s="268">
        <v>-4000</v>
      </c>
      <c r="KP9" s="606"/>
    </row>
    <row r="10" spans="1:303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6" t="s">
        <v>2417</v>
      </c>
      <c r="JE10" s="268">
        <v>590000</v>
      </c>
      <c r="JH10" s="346" t="s">
        <v>2016</v>
      </c>
      <c r="JI10" s="61">
        <v>58.77</v>
      </c>
      <c r="JJ10" s="662" t="s">
        <v>2417</v>
      </c>
      <c r="JK10" s="359">
        <v>0</v>
      </c>
      <c r="JL10" s="711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9" t="s">
        <v>2836</v>
      </c>
      <c r="JS10" s="779">
        <v>3.4</v>
      </c>
      <c r="JT10" s="346" t="s">
        <v>2847</v>
      </c>
      <c r="JU10" s="533">
        <v>5.38</v>
      </c>
      <c r="JV10" s="777" t="s">
        <v>1630</v>
      </c>
      <c r="JW10" s="442">
        <v>-123</v>
      </c>
      <c r="JX10" s="796" t="s">
        <v>2935</v>
      </c>
      <c r="JY10" s="514"/>
      <c r="JZ10" s="389" t="s">
        <v>2963</v>
      </c>
      <c r="KA10" s="61">
        <v>5.99</v>
      </c>
      <c r="KB10" s="205" t="s">
        <v>2927</v>
      </c>
      <c r="KC10" s="359">
        <v>-166</v>
      </c>
      <c r="KD10" s="849" t="s">
        <v>2935</v>
      </c>
      <c r="KE10" s="514"/>
      <c r="KF10" s="245" t="s">
        <v>2979</v>
      </c>
      <c r="KG10" s="442">
        <v>2000</v>
      </c>
      <c r="KH10" s="896" t="s">
        <v>2664</v>
      </c>
      <c r="KI10" s="442">
        <v>-82000</v>
      </c>
      <c r="KJ10" s="890" t="s">
        <v>2935</v>
      </c>
      <c r="KK10" s="514"/>
      <c r="KL10" s="346" t="s">
        <v>3080</v>
      </c>
      <c r="KM10" s="890">
        <v>79.72</v>
      </c>
      <c r="KN10" s="893" t="s">
        <v>2959</v>
      </c>
      <c r="KO10" s="442">
        <v>340002</v>
      </c>
      <c r="KP10" s="606">
        <v>45183</v>
      </c>
    </row>
    <row r="11" spans="1:303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6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2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1" t="s">
        <v>2163</v>
      </c>
      <c r="JM11" s="725">
        <v>52.000999999999998</v>
      </c>
      <c r="JN11" s="245" t="s">
        <v>2826</v>
      </c>
      <c r="JO11" s="492">
        <v>1396.9</v>
      </c>
      <c r="JP11" s="717" t="s">
        <v>1630</v>
      </c>
      <c r="JQ11" s="442">
        <v>-1063</v>
      </c>
      <c r="JR11" s="609" t="s">
        <v>2853</v>
      </c>
      <c r="JS11" s="492">
        <v>1.21</v>
      </c>
      <c r="JT11" s="245" t="s">
        <v>2826</v>
      </c>
      <c r="JU11" s="492">
        <v>1371.77</v>
      </c>
      <c r="JV11" s="760" t="s">
        <v>2772</v>
      </c>
      <c r="JW11" s="268">
        <v>2600</v>
      </c>
      <c r="JX11" s="796" t="s">
        <v>2923</v>
      </c>
      <c r="JY11" s="725">
        <f>55.87+0.96</f>
        <v>56.83</v>
      </c>
      <c r="JZ11" s="346" t="s">
        <v>2914</v>
      </c>
      <c r="KA11" s="796">
        <v>29.9</v>
      </c>
      <c r="KB11" s="856" t="s">
        <v>1630</v>
      </c>
      <c r="KC11" s="442">
        <v>-217</v>
      </c>
      <c r="KD11" s="865" t="s">
        <v>2958</v>
      </c>
      <c r="KE11" s="493">
        <f>1.5%*519+1.82</f>
        <v>9.6050000000000004</v>
      </c>
      <c r="KF11" s="245" t="s">
        <v>2955</v>
      </c>
      <c r="KG11" s="492">
        <v>64875.360000000001</v>
      </c>
      <c r="KH11" s="897" t="s">
        <v>2663</v>
      </c>
      <c r="KI11" s="268">
        <v>-4000</v>
      </c>
      <c r="KJ11" s="890" t="s">
        <v>2958</v>
      </c>
      <c r="KK11" s="493"/>
      <c r="KL11" s="333" t="s">
        <v>2992</v>
      </c>
      <c r="KM11" s="644">
        <v>20000</v>
      </c>
      <c r="KN11" s="897" t="s">
        <v>3035</v>
      </c>
      <c r="KO11" s="268">
        <v>100247</v>
      </c>
      <c r="KP11" s="606">
        <v>45183</v>
      </c>
    </row>
    <row r="12" spans="1:303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6" t="s">
        <v>3056</v>
      </c>
      <c r="JA12" s="616">
        <v>30</v>
      </c>
      <c r="JB12" s="346" t="s">
        <v>2612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2732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2787</v>
      </c>
      <c r="JO12" s="492">
        <v>110000</v>
      </c>
      <c r="JP12" s="715" t="s">
        <v>2772</v>
      </c>
      <c r="JQ12" s="268">
        <v>2600</v>
      </c>
      <c r="JR12" s="609" t="s">
        <v>2852</v>
      </c>
      <c r="JS12" s="798"/>
      <c r="JT12" s="245" t="s">
        <v>2827</v>
      </c>
      <c r="JU12" s="492">
        <v>1478.09</v>
      </c>
      <c r="JV12" s="763" t="s">
        <v>2773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2772</v>
      </c>
      <c r="KC12" s="268">
        <v>2600</v>
      </c>
      <c r="KD12" s="849" t="s">
        <v>3008</v>
      </c>
      <c r="KE12" s="725">
        <v>46</v>
      </c>
      <c r="KF12" s="245" t="s">
        <v>2954</v>
      </c>
      <c r="KG12" s="492">
        <v>136363</v>
      </c>
      <c r="KH12" s="205" t="s">
        <v>2976</v>
      </c>
      <c r="KI12" s="965" t="s">
        <v>3002</v>
      </c>
      <c r="KJ12" s="890" t="s">
        <v>2947</v>
      </c>
      <c r="KK12" s="725">
        <f>73.33+0.96</f>
        <v>74.289999999999992</v>
      </c>
      <c r="KL12" s="333" t="s">
        <v>3102</v>
      </c>
      <c r="KM12" s="644">
        <v>0</v>
      </c>
      <c r="KN12" s="895" t="s">
        <v>2994</v>
      </c>
      <c r="KO12" s="605"/>
      <c r="KP12" s="606"/>
    </row>
    <row r="13" spans="1:303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60" t="s">
        <v>2682</v>
      </c>
      <c r="JC13" s="533">
        <f>80-40</f>
        <v>40</v>
      </c>
      <c r="JD13" s="617" t="s">
        <v>1838</v>
      </c>
      <c r="JE13" s="517">
        <v>2600</v>
      </c>
      <c r="JF13" s="662" t="s">
        <v>2876</v>
      </c>
      <c r="JG13" s="492">
        <v>22.41</v>
      </c>
      <c r="JH13" s="245" t="s">
        <v>2749</v>
      </c>
      <c r="JI13" s="720"/>
      <c r="JJ13" s="663" t="s">
        <v>1838</v>
      </c>
      <c r="JK13" s="268">
        <v>2600</v>
      </c>
      <c r="JL13" s="9" t="s">
        <v>2877</v>
      </c>
      <c r="JM13" s="726">
        <v>5.9</v>
      </c>
      <c r="JN13" s="245" t="s">
        <v>3021</v>
      </c>
      <c r="JO13" s="52">
        <f>JO14*4</f>
        <v>5080.7519999999995</v>
      </c>
      <c r="JP13" s="718" t="s">
        <v>2773</v>
      </c>
      <c r="JQ13" s="268">
        <v>682</v>
      </c>
      <c r="JR13" s="757" t="s">
        <v>2407</v>
      </c>
      <c r="JS13" s="514"/>
      <c r="JT13" s="245" t="s">
        <v>2608</v>
      </c>
      <c r="JU13" s="52">
        <f>JU14*4</f>
        <v>2540.3759999999997</v>
      </c>
      <c r="JV13" s="763" t="s">
        <v>2774</v>
      </c>
      <c r="JW13" s="268">
        <v>597</v>
      </c>
      <c r="JX13" s="9" t="s">
        <v>2901</v>
      </c>
      <c r="JY13" s="726">
        <v>7.95</v>
      </c>
      <c r="JZ13" s="346" t="s">
        <v>2891</v>
      </c>
      <c r="KA13" s="61">
        <v>2062.8000000000002</v>
      </c>
      <c r="KB13" s="857" t="s">
        <v>2773</v>
      </c>
      <c r="KC13" s="268">
        <v>765</v>
      </c>
      <c r="KD13" s="849" t="s">
        <v>1799</v>
      </c>
      <c r="KE13" s="725">
        <v>13.54</v>
      </c>
      <c r="KF13" s="345" t="s">
        <v>3019</v>
      </c>
      <c r="KG13" s="492">
        <v>281.16000000000003</v>
      </c>
      <c r="KH13" s="205" t="s">
        <v>2992</v>
      </c>
      <c r="KI13" s="965"/>
      <c r="KJ13" s="890" t="s">
        <v>1799</v>
      </c>
      <c r="KK13" s="725"/>
      <c r="KL13" s="245" t="s">
        <v>3070</v>
      </c>
      <c r="KM13" s="492">
        <v>50065.8</v>
      </c>
      <c r="KN13" s="320" t="s">
        <v>2993</v>
      </c>
      <c r="KO13" s="403">
        <v>0</v>
      </c>
      <c r="KP13" s="606"/>
    </row>
    <row r="14" spans="1:303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31" t="s">
        <v>2185</v>
      </c>
      <c r="HK14" s="93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6" t="s">
        <v>2407</v>
      </c>
      <c r="JA14" s="514"/>
      <c r="JB14" s="245" t="s">
        <v>2681</v>
      </c>
      <c r="JC14" s="644">
        <v>26.001000000000001</v>
      </c>
      <c r="JD14" s="620" t="s">
        <v>1505</v>
      </c>
      <c r="JE14" s="268">
        <v>635</v>
      </c>
      <c r="JF14" s="701" t="s">
        <v>2737</v>
      </c>
      <c r="JG14" s="492">
        <v>118.15</v>
      </c>
      <c r="JH14" s="245" t="s">
        <v>2786</v>
      </c>
      <c r="JI14" s="492">
        <v>1422.53</v>
      </c>
      <c r="JJ14" s="666" t="s">
        <v>1505</v>
      </c>
      <c r="JK14" s="268">
        <v>966</v>
      </c>
      <c r="JL14" s="9" t="s">
        <v>2878</v>
      </c>
      <c r="JM14" s="726"/>
      <c r="JN14" s="345" t="s">
        <v>2807</v>
      </c>
      <c r="JO14" s="52">
        <f>(3175.47/5)*2</f>
        <v>1270.1879999999999</v>
      </c>
      <c r="JP14" s="718" t="s">
        <v>2774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2915</v>
      </c>
      <c r="JU14" s="52">
        <f>(3175.47/5)</f>
        <v>635.09399999999994</v>
      </c>
      <c r="JV14" s="763" t="s">
        <v>2775</v>
      </c>
      <c r="JW14" s="268">
        <v>561</v>
      </c>
      <c r="JX14" s="9" t="s">
        <v>2918</v>
      </c>
      <c r="JY14" s="726"/>
      <c r="JZ14" s="346" t="s">
        <v>2674</v>
      </c>
      <c r="KA14" s="796">
        <f>259.2+410.4</f>
        <v>669.59999999999991</v>
      </c>
      <c r="KB14" s="857" t="s">
        <v>2774</v>
      </c>
      <c r="KC14" s="517">
        <v>1438</v>
      </c>
      <c r="KD14" s="9" t="s">
        <v>2901</v>
      </c>
      <c r="KE14" s="726"/>
      <c r="KF14" s="345" t="s">
        <v>2543</v>
      </c>
      <c r="KG14" s="61">
        <v>74.64</v>
      </c>
      <c r="KH14" s="893" t="s">
        <v>2959</v>
      </c>
      <c r="KI14" s="442">
        <v>366011</v>
      </c>
      <c r="KJ14" s="9" t="s">
        <v>2901</v>
      </c>
      <c r="KK14" s="726"/>
      <c r="KL14" s="245" t="s">
        <v>3017</v>
      </c>
      <c r="KM14" s="492">
        <f>KM15*9</f>
        <v>1272.2760000000001</v>
      </c>
      <c r="KN14" s="205" t="s">
        <v>3107</v>
      </c>
      <c r="KO14" s="359">
        <v>30</v>
      </c>
      <c r="KP14" s="108">
        <v>45183</v>
      </c>
    </row>
    <row r="15" spans="1:303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76" t="s">
        <v>1504</v>
      </c>
      <c r="DP15" s="977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3035</v>
      </c>
      <c r="JG15" s="662">
        <f>6.24+2.24</f>
        <v>8.48</v>
      </c>
      <c r="JH15" s="388" t="s">
        <v>2733</v>
      </c>
      <c r="JI15" s="492">
        <v>155000</v>
      </c>
      <c r="JJ15" s="666" t="s">
        <v>1506</v>
      </c>
      <c r="JK15" s="268">
        <v>1556</v>
      </c>
      <c r="JL15" s="779" t="s">
        <v>3036</v>
      </c>
      <c r="JM15" s="510">
        <v>1.96</v>
      </c>
      <c r="JN15" s="345" t="s">
        <v>2543</v>
      </c>
      <c r="JO15" s="61">
        <v>53.91</v>
      </c>
      <c r="JP15" s="718" t="s">
        <v>2775</v>
      </c>
      <c r="JQ15" s="268">
        <v>76</v>
      </c>
      <c r="JR15" s="771" t="s">
        <v>2815</v>
      </c>
      <c r="JS15" s="726">
        <v>200</v>
      </c>
      <c r="JT15" s="345" t="s">
        <v>2543</v>
      </c>
      <c r="JU15" s="61">
        <v>75.430000000000007</v>
      </c>
      <c r="JV15" s="763" t="s">
        <v>3058</v>
      </c>
      <c r="JW15" s="268">
        <v>2151</v>
      </c>
      <c r="JX15" s="9"/>
      <c r="JY15" s="726"/>
      <c r="JZ15" s="346" t="s">
        <v>2892</v>
      </c>
      <c r="KA15" s="828">
        <v>10</v>
      </c>
      <c r="KB15" s="857" t="s">
        <v>3035</v>
      </c>
      <c r="KC15" s="268">
        <v>100491</v>
      </c>
      <c r="KD15" s="964" t="s">
        <v>2948</v>
      </c>
      <c r="KE15" s="964"/>
      <c r="KF15" s="345" t="s">
        <v>2611</v>
      </c>
      <c r="KG15" s="534">
        <v>131.87</v>
      </c>
      <c r="KH15" s="897" t="s">
        <v>3035</v>
      </c>
      <c r="KI15" s="268">
        <v>100032</v>
      </c>
      <c r="KJ15" s="964" t="s">
        <v>2948</v>
      </c>
      <c r="KK15" s="964"/>
      <c r="KL15" s="345" t="s">
        <v>3020</v>
      </c>
      <c r="KM15" s="505">
        <f>1413.64/10</f>
        <v>141.364</v>
      </c>
      <c r="KN15" s="896" t="s">
        <v>1094</v>
      </c>
      <c r="KO15" s="442">
        <v>-779</v>
      </c>
      <c r="KP15" s="606">
        <v>45180</v>
      </c>
      <c r="KQ15" s="442"/>
    </row>
    <row r="16" spans="1:303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2" t="s">
        <v>2766</v>
      </c>
      <c r="JA16" s="492">
        <v>16.05</v>
      </c>
      <c r="JB16" s="245" t="s">
        <v>2608</v>
      </c>
      <c r="JC16" s="52">
        <f>JC17*2</f>
        <v>2116.98</v>
      </c>
      <c r="JD16" s="620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6" t="s">
        <v>2680</v>
      </c>
      <c r="JK16" s="268">
        <v>4000</v>
      </c>
      <c r="JL16" s="711" t="s">
        <v>3044</v>
      </c>
      <c r="JM16" s="61">
        <f>25.72</f>
        <v>25.72</v>
      </c>
      <c r="JN16" s="345" t="s">
        <v>2693</v>
      </c>
      <c r="JO16" s="61">
        <v>23.96</v>
      </c>
      <c r="JP16" s="718" t="s">
        <v>3058</v>
      </c>
      <c r="JQ16" s="605">
        <v>2441</v>
      </c>
      <c r="JR16" s="793" t="s">
        <v>2835</v>
      </c>
      <c r="JS16" s="726">
        <v>300</v>
      </c>
      <c r="JT16" s="345" t="s">
        <v>2693</v>
      </c>
      <c r="JU16" s="61">
        <v>129.6</v>
      </c>
      <c r="JV16" s="254" t="s">
        <v>2776</v>
      </c>
      <c r="JW16" s="605"/>
      <c r="JX16" s="846" t="s">
        <v>2934</v>
      </c>
      <c r="JY16" s="726"/>
      <c r="JZ16" s="346" t="s">
        <v>2902</v>
      </c>
      <c r="KA16" s="834">
        <f>6.8+7.8</f>
        <v>14.6</v>
      </c>
      <c r="KB16" s="254" t="s">
        <v>2898</v>
      </c>
      <c r="KC16" s="605"/>
      <c r="KD16" s="899"/>
      <c r="KE16" s="899"/>
      <c r="KF16" s="345" t="s">
        <v>1195</v>
      </c>
      <c r="KG16" s="61">
        <f>10+6.5+15</f>
        <v>31.5</v>
      </c>
      <c r="KH16" s="895" t="s">
        <v>2994</v>
      </c>
      <c r="KI16" s="605"/>
      <c r="KJ16" s="9"/>
      <c r="KK16" s="726"/>
      <c r="KL16" s="345" t="s">
        <v>3078</v>
      </c>
      <c r="KM16" s="442"/>
      <c r="KN16" s="205" t="s">
        <v>3015</v>
      </c>
      <c r="KO16" s="2">
        <f>KN17-0.99*195000</f>
        <v>-52126</v>
      </c>
      <c r="KP16" s="108"/>
    </row>
    <row r="17" spans="1:303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3" t="s">
        <v>3035</v>
      </c>
      <c r="JA17" s="643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2">
        <v>442.61</v>
      </c>
      <c r="JH17" s="345" t="s">
        <v>2676</v>
      </c>
      <c r="JI17" s="61">
        <v>59.36</v>
      </c>
      <c r="JJ17" s="678" t="s">
        <v>2714</v>
      </c>
      <c r="JK17" s="268">
        <f>25000.29+90000.29+140000.29+10000</f>
        <v>265000.87</v>
      </c>
      <c r="JL17" s="779" t="s">
        <v>3045</v>
      </c>
      <c r="JM17" s="61">
        <f>180.39+64.94+57.72</f>
        <v>303.04999999999995</v>
      </c>
      <c r="JN17" s="345" t="s">
        <v>3059</v>
      </c>
      <c r="JO17" s="61">
        <v>30</v>
      </c>
      <c r="JP17" s="254" t="s">
        <v>2776</v>
      </c>
      <c r="JQ17" s="605"/>
      <c r="JR17" s="779" t="s">
        <v>3036</v>
      </c>
      <c r="JS17" s="726">
        <v>2.95</v>
      </c>
      <c r="JT17" s="345" t="s">
        <v>2849</v>
      </c>
      <c r="JU17" s="534">
        <v>131.6</v>
      </c>
      <c r="JV17" s="763" t="s">
        <v>2777</v>
      </c>
      <c r="JW17" s="268">
        <v>0</v>
      </c>
      <c r="JX17" s="9" t="s">
        <v>2890</v>
      </c>
      <c r="JY17" s="726">
        <f>1.29+1.15</f>
        <v>2.44</v>
      </c>
      <c r="JZ17" s="346" t="s">
        <v>2894</v>
      </c>
      <c r="KA17" s="796">
        <f>73.44/2</f>
        <v>36.72</v>
      </c>
      <c r="KB17" s="857" t="s">
        <v>2777</v>
      </c>
      <c r="KC17" s="268">
        <v>0</v>
      </c>
      <c r="KD17" s="849" t="s">
        <v>2934</v>
      </c>
      <c r="KE17" s="726"/>
      <c r="KF17" s="345" t="s">
        <v>2782</v>
      </c>
      <c r="KG17" s="61">
        <f>14.32+18</f>
        <v>32.32</v>
      </c>
      <c r="KH17" s="320" t="s">
        <v>2993</v>
      </c>
      <c r="KI17" s="403">
        <v>30</v>
      </c>
      <c r="KJ17" s="890" t="s">
        <v>2934</v>
      </c>
      <c r="KK17" s="726"/>
      <c r="KL17" s="345" t="s">
        <v>2543</v>
      </c>
      <c r="KM17" s="61" t="s">
        <v>3074</v>
      </c>
      <c r="KN17" s="885">
        <v>140924</v>
      </c>
      <c r="KO17" s="894"/>
      <c r="KP17" s="606">
        <v>45180</v>
      </c>
      <c r="KQ17" s="885"/>
    </row>
    <row r="18" spans="1:303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3035</v>
      </c>
      <c r="IO18">
        <v>3</v>
      </c>
      <c r="IP18" s="345" t="s">
        <v>2457</v>
      </c>
      <c r="IQ18" s="61">
        <v>42.65</v>
      </c>
      <c r="IR18" s="66" t="s">
        <v>3035</v>
      </c>
      <c r="IS18" s="268">
        <v>1143</v>
      </c>
      <c r="IT18" s="732" t="s">
        <v>2766</v>
      </c>
      <c r="IU18" s="492">
        <v>14</v>
      </c>
      <c r="IV18" s="345" t="s">
        <v>2613</v>
      </c>
      <c r="IW18" s="534">
        <v>110.02</v>
      </c>
      <c r="IX18" s="573" t="s">
        <v>3065</v>
      </c>
      <c r="IY18" s="605">
        <v>4175</v>
      </c>
      <c r="IZ18" s="401"/>
      <c r="JA18" s="510"/>
      <c r="JB18" s="345" t="s">
        <v>2605</v>
      </c>
      <c r="JC18" s="61">
        <v>110.79</v>
      </c>
      <c r="JD18" s="620" t="s">
        <v>3043</v>
      </c>
      <c r="JE18" s="605">
        <v>3083</v>
      </c>
      <c r="JF18" s="401"/>
      <c r="JG18" s="510"/>
      <c r="JH18" s="345" t="s">
        <v>3038</v>
      </c>
      <c r="JI18" s="61">
        <v>30</v>
      </c>
      <c r="JJ18" s="666" t="s">
        <v>3043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8" t="s">
        <v>2777</v>
      </c>
      <c r="JQ18" s="268">
        <v>0</v>
      </c>
      <c r="JR18" s="10" t="s">
        <v>3044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2675</v>
      </c>
      <c r="JW18" s="268">
        <v>15</v>
      </c>
      <c r="JX18" s="9" t="s">
        <v>2875</v>
      </c>
      <c r="JY18" s="726">
        <f>65.16+2.55</f>
        <v>67.709999999999994</v>
      </c>
      <c r="JZ18" s="346" t="s">
        <v>2938</v>
      </c>
      <c r="KA18" s="61">
        <v>5.01</v>
      </c>
      <c r="KB18" s="857" t="s">
        <v>2675</v>
      </c>
      <c r="KC18" s="268">
        <v>14</v>
      </c>
      <c r="KD18" s="9" t="s">
        <v>2875</v>
      </c>
      <c r="KE18" s="726">
        <v>92.26</v>
      </c>
      <c r="KF18" s="345" t="s">
        <v>3060</v>
      </c>
      <c r="KG18" s="61">
        <v>180</v>
      </c>
      <c r="KH18" s="205" t="s">
        <v>2995</v>
      </c>
      <c r="KI18" s="359">
        <f>686-1000</f>
        <v>-314</v>
      </c>
      <c r="KJ18" s="9" t="s">
        <v>3073</v>
      </c>
      <c r="KK18" s="726">
        <f>7.87</f>
        <v>7.87</v>
      </c>
      <c r="KL18" s="345" t="s">
        <v>2986</v>
      </c>
      <c r="KM18" s="61"/>
      <c r="KN18" s="893" t="s">
        <v>2772</v>
      </c>
      <c r="KO18" s="268">
        <v>2600</v>
      </c>
      <c r="KP18" s="606"/>
    </row>
    <row r="19" spans="1:303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76" t="s">
        <v>1474</v>
      </c>
      <c r="DJ19" s="977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3042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2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5" t="s">
        <v>2609</v>
      </c>
      <c r="IY19" s="268">
        <v>10</v>
      </c>
      <c r="IZ19" s="657"/>
      <c r="JA19" s="657"/>
      <c r="JB19" s="345" t="s">
        <v>2693</v>
      </c>
      <c r="JC19" s="61">
        <v>109.57</v>
      </c>
      <c r="JD19" s="642" t="s">
        <v>2660</v>
      </c>
      <c r="JE19" s="268">
        <v>0</v>
      </c>
      <c r="JF19" s="680"/>
      <c r="JG19" s="680"/>
      <c r="JH19" s="345" t="s">
        <v>2611</v>
      </c>
      <c r="JI19" s="534">
        <v>115.37</v>
      </c>
      <c r="JJ19" s="666" t="s">
        <v>2660</v>
      </c>
      <c r="JK19" s="268">
        <v>0</v>
      </c>
      <c r="JL19" s="721" t="s">
        <v>2795</v>
      </c>
      <c r="JM19" s="721">
        <v>2</v>
      </c>
      <c r="JN19" s="345" t="s">
        <v>1195</v>
      </c>
      <c r="JO19" s="61">
        <f>15+6.5+30</f>
        <v>51.5</v>
      </c>
      <c r="JP19" s="718" t="s">
        <v>2675</v>
      </c>
      <c r="JQ19" s="268">
        <v>14</v>
      </c>
      <c r="JR19" s="11" t="s">
        <v>3045</v>
      </c>
      <c r="JS19" s="788">
        <f>183.29+65.98+58.65</f>
        <v>307.91999999999996</v>
      </c>
      <c r="JT19" s="345" t="s">
        <v>2782</v>
      </c>
      <c r="JU19" s="61">
        <f>9+14.32</f>
        <v>23.32</v>
      </c>
      <c r="JV19" s="762" t="s">
        <v>2671</v>
      </c>
      <c r="JW19" s="2">
        <v>240</v>
      </c>
      <c r="JX19" s="9" t="s">
        <v>2936</v>
      </c>
      <c r="JY19" s="726">
        <v>24.55</v>
      </c>
      <c r="JZ19" s="346" t="s">
        <v>2939</v>
      </c>
      <c r="KA19" s="796">
        <v>10.87</v>
      </c>
      <c r="KB19" s="856" t="s">
        <v>2671</v>
      </c>
      <c r="KC19" s="2">
        <v>220</v>
      </c>
      <c r="KD19" s="9" t="s">
        <v>2937</v>
      </c>
      <c r="KE19" s="726">
        <v>31.03</v>
      </c>
      <c r="KF19" s="345" t="s">
        <v>2833</v>
      </c>
      <c r="KG19" s="203">
        <v>10.8</v>
      </c>
      <c r="KH19" s="205" t="s">
        <v>3010</v>
      </c>
      <c r="KI19" s="359"/>
      <c r="KJ19" s="9" t="s">
        <v>3071</v>
      </c>
      <c r="KK19" s="726">
        <v>12.01</v>
      </c>
      <c r="KL19" s="345" t="s">
        <v>2611</v>
      </c>
      <c r="KM19" s="534"/>
      <c r="KN19" s="897" t="s">
        <v>2773</v>
      </c>
      <c r="KO19" s="268">
        <v>745</v>
      </c>
      <c r="KP19" s="606">
        <v>45180</v>
      </c>
      <c r="KQ19" s="268"/>
    </row>
    <row r="20" spans="1:303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3035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3068</v>
      </c>
      <c r="JC20" s="61">
        <f>10+30</f>
        <v>40</v>
      </c>
      <c r="JD20" s="620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7" t="s">
        <v>2671</v>
      </c>
      <c r="JQ20" s="2">
        <v>210</v>
      </c>
      <c r="JR20" s="11" t="s">
        <v>2822</v>
      </c>
      <c r="JS20" s="789">
        <v>15.42</v>
      </c>
      <c r="JT20" s="345" t="s">
        <v>2757</v>
      </c>
      <c r="JU20" s="203">
        <f>64+64+3</f>
        <v>131</v>
      </c>
      <c r="JV20" s="762" t="s">
        <v>2670</v>
      </c>
      <c r="JW20" s="272"/>
      <c r="JX20" s="9" t="s">
        <v>2925</v>
      </c>
      <c r="JY20" s="726">
        <v>27.05</v>
      </c>
      <c r="JZ20" s="245" t="s">
        <v>2826</v>
      </c>
      <c r="KA20" s="492">
        <v>1347.2</v>
      </c>
      <c r="KB20" s="856" t="s">
        <v>2670</v>
      </c>
      <c r="KC20" s="2"/>
      <c r="KD20" s="9" t="s">
        <v>3047</v>
      </c>
      <c r="KE20" s="726" t="s">
        <v>3009</v>
      </c>
      <c r="KF20" s="345" t="s">
        <v>2362</v>
      </c>
      <c r="KG20" s="61">
        <f>14.89+17.36+13.36+15.59+10+15.78+15.59</f>
        <v>102.57000000000001</v>
      </c>
      <c r="KH20" s="896" t="s">
        <v>1094</v>
      </c>
      <c r="KI20" s="442">
        <v>-1680</v>
      </c>
      <c r="KJ20" s="896" t="s">
        <v>3045</v>
      </c>
      <c r="KK20" s="726">
        <f>135.77+48.88+27.16</f>
        <v>211.81</v>
      </c>
      <c r="KL20" s="345" t="s">
        <v>1195</v>
      </c>
      <c r="KM20" s="61"/>
      <c r="KN20" s="897" t="s">
        <v>2774</v>
      </c>
      <c r="KO20" s="517">
        <v>1795</v>
      </c>
      <c r="KP20" s="606" t="s">
        <v>3106</v>
      </c>
      <c r="KQ20" s="517"/>
    </row>
    <row r="21" spans="1:303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8" t="s">
        <v>2671</v>
      </c>
      <c r="JE21" s="616">
        <v>130</v>
      </c>
      <c r="JF21" s="401"/>
      <c r="JG21" s="510"/>
      <c r="JH21" s="345" t="s">
        <v>2723</v>
      </c>
      <c r="JI21" s="61">
        <v>27</v>
      </c>
      <c r="JJ21" s="666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7" t="s">
        <v>2670</v>
      </c>
      <c r="JQ21" s="2"/>
      <c r="JR21" s="790" t="s">
        <v>2821</v>
      </c>
      <c r="JS21" s="791">
        <f>783.33+1167.38+1493.5+2179.3</f>
        <v>5623.51</v>
      </c>
      <c r="JT21" s="345" t="s">
        <v>2833</v>
      </c>
      <c r="JU21" s="203">
        <v>6.97</v>
      </c>
      <c r="JV21" s="764" t="s">
        <v>2447</v>
      </c>
      <c r="JW21" s="2">
        <v>1000</v>
      </c>
      <c r="JX21" s="9" t="s">
        <v>3048</v>
      </c>
      <c r="JY21" s="726">
        <v>13.23</v>
      </c>
      <c r="JZ21" s="245" t="s">
        <v>2950</v>
      </c>
      <c r="KA21" s="492">
        <v>1322.98</v>
      </c>
      <c r="KB21" s="858" t="s">
        <v>2447</v>
      </c>
      <c r="KC21" s="2">
        <v>1000</v>
      </c>
      <c r="KD21" s="862" t="s">
        <v>3049</v>
      </c>
      <c r="KE21" s="510">
        <f>63.91+71.9+199.73+2.07</f>
        <v>337.60999999999996</v>
      </c>
      <c r="KF21" s="337" t="s">
        <v>2991</v>
      </c>
      <c r="KG21" s="61">
        <v>10</v>
      </c>
      <c r="KH21" s="205" t="s">
        <v>2998</v>
      </c>
      <c r="KI21" s="890">
        <f>KH22-0.99*195000</f>
        <v>-242</v>
      </c>
      <c r="KJ21" s="9" t="s">
        <v>3046</v>
      </c>
      <c r="KK21" s="726">
        <v>20.67</v>
      </c>
      <c r="KL21" s="345" t="s">
        <v>2782</v>
      </c>
      <c r="KM21" s="61">
        <f>14.32</f>
        <v>14.32</v>
      </c>
      <c r="KN21" s="961" t="s">
        <v>3083</v>
      </c>
      <c r="KO21" s="961"/>
      <c r="KP21" s="606"/>
    </row>
    <row r="22" spans="1:303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70" t="s">
        <v>507</v>
      </c>
      <c r="N22" s="970"/>
      <c r="Q22" s="166" t="s">
        <v>365</v>
      </c>
      <c r="S22" s="970" t="s">
        <v>507</v>
      </c>
      <c r="T22" s="970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67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3035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3061</v>
      </c>
      <c r="II22">
        <f>9.86*4</f>
        <v>39.44</v>
      </c>
      <c r="IJ22" s="345" t="s">
        <v>2249</v>
      </c>
      <c r="IK22">
        <v>64</v>
      </c>
      <c r="IL22" s="66" t="s">
        <v>3042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20" t="s">
        <v>2170</v>
      </c>
      <c r="IU22" s="920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9" t="s">
        <v>2670</v>
      </c>
      <c r="JH22" s="345" t="s">
        <v>2187</v>
      </c>
      <c r="JI22" s="61">
        <f>9+14.32</f>
        <v>23.32</v>
      </c>
      <c r="JJ22" s="665" t="s">
        <v>2671</v>
      </c>
      <c r="JK22" s="662">
        <v>230</v>
      </c>
      <c r="JL22" s="401"/>
      <c r="JM22" s="510"/>
      <c r="JN22" s="337" t="s">
        <v>3062</v>
      </c>
      <c r="JO22" s="2">
        <v>2953</v>
      </c>
      <c r="JP22" s="719" t="s">
        <v>2447</v>
      </c>
      <c r="JQ22" s="2">
        <v>1000</v>
      </c>
      <c r="JR22" s="790" t="s">
        <v>2828</v>
      </c>
      <c r="JS22" s="791"/>
      <c r="JT22" s="345" t="s">
        <v>2362</v>
      </c>
      <c r="JU22" s="61">
        <f>17.57+15.78+10+10+16.81+16.4+1.52+17.15+1.19+10.85</f>
        <v>117.26999999999998</v>
      </c>
      <c r="JV22" s="761" t="s">
        <v>2472</v>
      </c>
      <c r="JW22" s="61"/>
      <c r="JX22" s="9" t="s">
        <v>3050</v>
      </c>
      <c r="JY22" s="726">
        <v>31.96</v>
      </c>
      <c r="JZ22" s="245" t="s">
        <v>2940</v>
      </c>
      <c r="KA22" s="492">
        <v>1730.87</v>
      </c>
      <c r="KB22" s="855" t="s">
        <v>2465</v>
      </c>
      <c r="KC22" s="61"/>
      <c r="KD22" s="870" t="s">
        <v>3000</v>
      </c>
      <c r="KE22" s="510">
        <f>7000*(1-98.14%)</f>
        <v>130.19999999999965</v>
      </c>
      <c r="KF22" s="337" t="s">
        <v>3004</v>
      </c>
      <c r="KG22" s="61">
        <v>108.001</v>
      </c>
      <c r="KH22" s="885">
        <v>192808</v>
      </c>
      <c r="KI22" s="894"/>
      <c r="KJ22" s="9" t="s">
        <v>3013</v>
      </c>
      <c r="KK22" s="510">
        <v>380.32</v>
      </c>
      <c r="KL22" s="345" t="s">
        <v>3007</v>
      </c>
      <c r="KM22" s="61"/>
      <c r="KN22" s="897" t="s">
        <v>3069</v>
      </c>
      <c r="KO22" s="268">
        <v>12</v>
      </c>
      <c r="KP22" s="606"/>
    </row>
    <row r="23" spans="1:303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68" t="s">
        <v>990</v>
      </c>
      <c r="N23" s="968"/>
      <c r="Q23" s="166" t="s">
        <v>369</v>
      </c>
      <c r="S23" s="968" t="s">
        <v>990</v>
      </c>
      <c r="T23" s="968"/>
      <c r="W23" s="244" t="s">
        <v>1019</v>
      </c>
      <c r="X23" s="142">
        <v>0</v>
      </c>
      <c r="Y23" s="970" t="s">
        <v>507</v>
      </c>
      <c r="Z23" s="970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67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20" t="s">
        <v>2170</v>
      </c>
      <c r="HK23" s="920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20" t="s">
        <v>2170</v>
      </c>
      <c r="HW23" s="920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3041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2447</v>
      </c>
      <c r="JE23" s="616">
        <v>1000</v>
      </c>
      <c r="JF23" s="401"/>
      <c r="JG23" s="510"/>
      <c r="JH23" s="700" t="s">
        <v>2724</v>
      </c>
      <c r="JI23" s="533">
        <v>4.05</v>
      </c>
      <c r="JJ23" s="665" t="s">
        <v>2670</v>
      </c>
      <c r="JL23" s="401"/>
      <c r="JM23" s="510"/>
      <c r="JN23" s="337" t="s">
        <v>2756</v>
      </c>
      <c r="JO23" s="61">
        <v>50.23</v>
      </c>
      <c r="JP23" s="727" t="s">
        <v>2472</v>
      </c>
      <c r="JQ23" s="2"/>
      <c r="JR23" s="767"/>
      <c r="JS23" s="510"/>
      <c r="JT23" s="337" t="s">
        <v>2823</v>
      </c>
      <c r="JU23" s="61">
        <v>10</v>
      </c>
      <c r="JV23" s="761" t="s">
        <v>2465</v>
      </c>
      <c r="JW23" s="61"/>
      <c r="JX23" s="829" t="s">
        <v>3051</v>
      </c>
      <c r="JY23" s="726">
        <f>85.99+30.96</f>
        <v>116.94999999999999</v>
      </c>
      <c r="JZ23" s="245" t="s">
        <v>2926</v>
      </c>
      <c r="KA23" s="492">
        <v>1713.69</v>
      </c>
      <c r="KB23" s="855" t="s">
        <v>2472</v>
      </c>
      <c r="KC23" s="61"/>
      <c r="KD23" s="886" t="s">
        <v>3001</v>
      </c>
      <c r="KE23" s="849">
        <f>1660.5+1107</f>
        <v>2767.5</v>
      </c>
      <c r="KF23" s="337" t="s">
        <v>2977</v>
      </c>
      <c r="KG23" s="849">
        <v>135.69999999999999</v>
      </c>
      <c r="KH23" s="893" t="s">
        <v>2772</v>
      </c>
      <c r="KI23" s="268">
        <v>2600</v>
      </c>
      <c r="KJ23" s="9" t="s">
        <v>3012</v>
      </c>
      <c r="KK23" s="510">
        <v>5.68</v>
      </c>
      <c r="KL23" s="345" t="s">
        <v>2833</v>
      </c>
      <c r="KM23" s="203">
        <v>10.8</v>
      </c>
      <c r="KN23" s="896" t="s">
        <v>3024</v>
      </c>
      <c r="KO23" s="2">
        <v>140</v>
      </c>
      <c r="KP23" s="606">
        <v>45182</v>
      </c>
    </row>
    <row r="24" spans="1:303">
      <c r="A24" s="970" t="s">
        <v>507</v>
      </c>
      <c r="B24" s="970"/>
      <c r="E24" s="164" t="s">
        <v>237</v>
      </c>
      <c r="F24" s="166"/>
      <c r="G24" s="970" t="s">
        <v>507</v>
      </c>
      <c r="H24" s="970"/>
      <c r="K24" s="244" t="s">
        <v>1019</v>
      </c>
      <c r="L24" s="142">
        <v>0</v>
      </c>
      <c r="M24" s="943"/>
      <c r="N24" s="943"/>
      <c r="Q24" s="166" t="s">
        <v>1056</v>
      </c>
      <c r="S24" s="943"/>
      <c r="T24" s="943"/>
      <c r="W24" s="244" t="s">
        <v>1027</v>
      </c>
      <c r="X24" s="205">
        <v>0</v>
      </c>
      <c r="Y24" s="968" t="s">
        <v>990</v>
      </c>
      <c r="Z24" s="968"/>
      <c r="AC24"/>
      <c r="AE24" s="970" t="s">
        <v>507</v>
      </c>
      <c r="AF24" s="970"/>
      <c r="AI24"/>
      <c r="AK24" s="970" t="s">
        <v>507</v>
      </c>
      <c r="AL24" s="970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66" t="s">
        <v>1536</v>
      </c>
      <c r="EF24" s="966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67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67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2884</v>
      </c>
      <c r="IW24" s="61">
        <v>45.2</v>
      </c>
      <c r="IX24" s="575" t="s">
        <v>2416</v>
      </c>
      <c r="JB24" s="345" t="s">
        <v>2457</v>
      </c>
      <c r="JC24" s="61">
        <v>96</v>
      </c>
      <c r="JD24" s="618"/>
      <c r="JF24" s="401"/>
      <c r="JG24" s="510"/>
      <c r="JH24" s="345" t="s">
        <v>2362</v>
      </c>
      <c r="JI24" s="61">
        <f>15.55+10+15.6+17.36+16.4+10+14.01+16.99+15.65</f>
        <v>131.56</v>
      </c>
      <c r="JJ24" s="667" t="s">
        <v>2447</v>
      </c>
      <c r="JK24" s="662">
        <v>1000</v>
      </c>
      <c r="JL24" s="402"/>
      <c r="JN24" s="337" t="s">
        <v>2763</v>
      </c>
      <c r="JO24" s="61">
        <f>9+2</f>
        <v>11</v>
      </c>
      <c r="JP24" s="743" t="s">
        <v>2790</v>
      </c>
      <c r="JQ24" s="2">
        <v>14.8</v>
      </c>
      <c r="JR24" s="755" t="s">
        <v>2761</v>
      </c>
      <c r="JS24" s="755"/>
      <c r="JT24" s="337" t="s">
        <v>2848</v>
      </c>
      <c r="JU24" s="61">
        <v>48.2</v>
      </c>
      <c r="JV24" s="765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5" t="s">
        <v>2919</v>
      </c>
      <c r="KC24" s="61">
        <v>1.64</v>
      </c>
      <c r="KD24" s="849">
        <f>KG9*(1-0.98155)</f>
        <v>2767.499999999995</v>
      </c>
      <c r="KE24" s="849" t="s">
        <v>3003</v>
      </c>
      <c r="KF24" s="337" t="s">
        <v>3037</v>
      </c>
      <c r="KG24" s="533">
        <v>10</v>
      </c>
      <c r="KH24" s="897" t="s">
        <v>2773</v>
      </c>
      <c r="KI24" s="268">
        <v>1</v>
      </c>
      <c r="KJ24" s="900" t="s">
        <v>3108</v>
      </c>
      <c r="KL24" s="345" t="s">
        <v>2362</v>
      </c>
      <c r="KM24" s="61">
        <f>13.32+12.76</f>
        <v>26.08</v>
      </c>
      <c r="KN24" s="898" t="s">
        <v>2447</v>
      </c>
      <c r="KO24" s="2">
        <v>1000</v>
      </c>
      <c r="KP24" s="606"/>
    </row>
    <row r="25" spans="1:303">
      <c r="A25" s="968" t="s">
        <v>990</v>
      </c>
      <c r="B25" s="968"/>
      <c r="E25" s="164" t="s">
        <v>139</v>
      </c>
      <c r="F25" s="166"/>
      <c r="G25" s="968" t="s">
        <v>990</v>
      </c>
      <c r="H25" s="968"/>
      <c r="K25" s="244" t="s">
        <v>1027</v>
      </c>
      <c r="L25" s="205">
        <v>0</v>
      </c>
      <c r="M25" s="943"/>
      <c r="N25" s="943"/>
      <c r="Q25" s="244" t="s">
        <v>1029</v>
      </c>
      <c r="R25" s="142">
        <v>0</v>
      </c>
      <c r="S25" s="943"/>
      <c r="T25" s="943"/>
      <c r="W25" s="244" t="s">
        <v>1050</v>
      </c>
      <c r="X25" s="142">
        <v>910.17</v>
      </c>
      <c r="Y25" s="943"/>
      <c r="Z25" s="943"/>
      <c r="AC25" s="248" t="s">
        <v>1083</v>
      </c>
      <c r="AD25" s="142">
        <v>90</v>
      </c>
      <c r="AE25" s="968" t="s">
        <v>990</v>
      </c>
      <c r="AF25" s="968"/>
      <c r="AI25" s="245" t="s">
        <v>1101</v>
      </c>
      <c r="AJ25" s="142">
        <v>30</v>
      </c>
      <c r="AK25" s="968" t="s">
        <v>990</v>
      </c>
      <c r="AL25" s="968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68"/>
      <c r="BH25" s="968"/>
      <c r="BK25" s="266" t="s">
        <v>1222</v>
      </c>
      <c r="BL25" s="205">
        <v>48.54</v>
      </c>
      <c r="BM25" s="968"/>
      <c r="BN25" s="968"/>
      <c r="BQ25" s="266" t="s">
        <v>1051</v>
      </c>
      <c r="BR25" s="205">
        <v>50.15</v>
      </c>
      <c r="BS25" s="968" t="s">
        <v>1245</v>
      </c>
      <c r="BT25" s="968"/>
      <c r="BW25" s="266" t="s">
        <v>1051</v>
      </c>
      <c r="BX25" s="205">
        <v>48.54</v>
      </c>
      <c r="BY25" s="968"/>
      <c r="BZ25" s="968"/>
      <c r="CC25" s="266" t="s">
        <v>1051</v>
      </c>
      <c r="CD25" s="205">
        <v>142.91</v>
      </c>
      <c r="CE25" s="968"/>
      <c r="CF25" s="968"/>
      <c r="CI25" s="266" t="s">
        <v>1312</v>
      </c>
      <c r="CJ25" s="205">
        <v>35.049999999999997</v>
      </c>
      <c r="CK25" s="943"/>
      <c r="CL25" s="943"/>
      <c r="CO25" s="266" t="s">
        <v>1286</v>
      </c>
      <c r="CP25" s="205">
        <v>153.41</v>
      </c>
      <c r="CQ25" s="943" t="s">
        <v>1327</v>
      </c>
      <c r="CR25" s="943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67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20" t="s">
        <v>2170</v>
      </c>
      <c r="IC25" s="920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2885</v>
      </c>
      <c r="IW25" s="61">
        <v>54.7</v>
      </c>
      <c r="IX25" s="614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8"/>
      <c r="JF25" s="402"/>
      <c r="JH25" s="337" t="s">
        <v>2742</v>
      </c>
      <c r="JI25" s="61">
        <v>20</v>
      </c>
      <c r="JJ25" s="664" t="s">
        <v>2465</v>
      </c>
      <c r="JN25" s="337" t="s">
        <v>2767</v>
      </c>
      <c r="JO25" s="61">
        <v>16.100000000000001</v>
      </c>
      <c r="JP25" s="716" t="s">
        <v>2465</v>
      </c>
      <c r="JQ25" s="2"/>
      <c r="JR25" s="815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1" t="s">
        <v>2416</v>
      </c>
      <c r="JW25" s="61"/>
      <c r="JX25" s="832"/>
      <c r="JY25" s="832"/>
      <c r="JZ25" s="345" t="s">
        <v>2924</v>
      </c>
      <c r="KA25" s="61">
        <v>219</v>
      </c>
      <c r="KB25" s="855"/>
      <c r="KC25" s="61"/>
      <c r="KD25" s="904"/>
      <c r="KE25" s="904"/>
      <c r="KF25" s="337" t="s">
        <v>2965</v>
      </c>
      <c r="KG25" s="533">
        <v>38</v>
      </c>
      <c r="KH25" s="897" t="s">
        <v>2774</v>
      </c>
      <c r="KI25" s="517">
        <v>408</v>
      </c>
      <c r="KJ25" s="919" t="s">
        <v>3109</v>
      </c>
      <c r="KK25" s="890">
        <f>20000*(1-0.9814)</f>
        <v>371.99999999999898</v>
      </c>
      <c r="KL25" s="337" t="s">
        <v>3032</v>
      </c>
      <c r="KM25" s="61">
        <v>80</v>
      </c>
      <c r="KN25" s="895" t="s">
        <v>2465</v>
      </c>
      <c r="KO25" s="61"/>
    </row>
    <row r="26" spans="1:303">
      <c r="A26" s="943"/>
      <c r="B26" s="943"/>
      <c r="E26" s="198" t="s">
        <v>362</v>
      </c>
      <c r="F26" s="170"/>
      <c r="G26" s="943"/>
      <c r="H26" s="943"/>
      <c r="K26" s="244" t="s">
        <v>1018</v>
      </c>
      <c r="L26" s="142">
        <f>910+40</f>
        <v>950</v>
      </c>
      <c r="M26" s="943"/>
      <c r="N26" s="943"/>
      <c r="Q26" s="244" t="s">
        <v>1026</v>
      </c>
      <c r="R26" s="142">
        <v>0</v>
      </c>
      <c r="S26" s="943"/>
      <c r="T26" s="943"/>
      <c r="W26" s="143" t="s">
        <v>1085</v>
      </c>
      <c r="X26" s="142">
        <v>110.58</v>
      </c>
      <c r="Y26" s="943"/>
      <c r="Z26" s="943"/>
      <c r="AE26" s="943"/>
      <c r="AF26" s="943"/>
      <c r="AK26" s="943"/>
      <c r="AL26" s="943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43"/>
      <c r="AX26" s="943"/>
      <c r="AY26" s="143"/>
      <c r="AZ26" s="205"/>
      <c r="BA26" s="943"/>
      <c r="BB26" s="943"/>
      <c r="BE26" s="143" t="s">
        <v>1195</v>
      </c>
      <c r="BF26" s="205">
        <f>6.5*2</f>
        <v>13</v>
      </c>
      <c r="BG26" s="943"/>
      <c r="BH26" s="943"/>
      <c r="BK26" s="266" t="s">
        <v>1195</v>
      </c>
      <c r="BL26" s="205">
        <f>6.5*2</f>
        <v>13</v>
      </c>
      <c r="BM26" s="943"/>
      <c r="BN26" s="943"/>
      <c r="BQ26" s="266" t="s">
        <v>1195</v>
      </c>
      <c r="BR26" s="205">
        <v>13</v>
      </c>
      <c r="BS26" s="943"/>
      <c r="BT26" s="943"/>
      <c r="BW26" s="266" t="s">
        <v>1195</v>
      </c>
      <c r="BX26" s="205">
        <v>13</v>
      </c>
      <c r="BY26" s="943"/>
      <c r="BZ26" s="943"/>
      <c r="CC26" s="266" t="s">
        <v>1195</v>
      </c>
      <c r="CD26" s="205">
        <v>13</v>
      </c>
      <c r="CE26" s="943"/>
      <c r="CF26" s="943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82" t="s">
        <v>1536</v>
      </c>
      <c r="DZ26" s="983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66" t="s">
        <v>1536</v>
      </c>
      <c r="ES26" s="966"/>
      <c r="ET26" s="1" t="s">
        <v>1703</v>
      </c>
      <c r="EU26" s="272">
        <v>20000</v>
      </c>
      <c r="EW26" s="967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3066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5"/>
      <c r="JH26" s="337" t="s">
        <v>2720</v>
      </c>
      <c r="JI26" s="61">
        <v>30</v>
      </c>
      <c r="JJ26" s="664" t="s">
        <v>2416</v>
      </c>
      <c r="JL26" s="723" t="s">
        <v>2761</v>
      </c>
      <c r="JM26" s="723"/>
      <c r="JN26" s="337" t="s">
        <v>2886</v>
      </c>
      <c r="JO26" s="533">
        <v>42.9</v>
      </c>
      <c r="JP26" s="727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2882</v>
      </c>
      <c r="JU26" s="61">
        <v>41.5</v>
      </c>
      <c r="JV26" s="769"/>
      <c r="JW26" s="61"/>
      <c r="JX26" s="832"/>
      <c r="JY26" s="832"/>
      <c r="JZ26" s="345" t="s">
        <v>3038</v>
      </c>
      <c r="KA26" s="61">
        <v>30</v>
      </c>
      <c r="KB26" s="855" t="s">
        <v>2416</v>
      </c>
      <c r="KC26" s="61"/>
      <c r="KD26" s="904"/>
      <c r="KE26" s="904"/>
      <c r="KF26" s="337" t="s">
        <v>2969</v>
      </c>
      <c r="KG26" s="533">
        <v>25.9</v>
      </c>
      <c r="KH26" s="897" t="s">
        <v>2777</v>
      </c>
      <c r="KI26" s="268" t="s">
        <v>2129</v>
      </c>
      <c r="KL26" s="337" t="s">
        <v>3090</v>
      </c>
      <c r="KM26" s="61">
        <v>30</v>
      </c>
      <c r="KN26" s="911" t="s">
        <v>3082</v>
      </c>
      <c r="KO26" s="61">
        <v>220</v>
      </c>
    </row>
    <row r="27" spans="1:303">
      <c r="A27" s="943"/>
      <c r="B27" s="943"/>
      <c r="F27" s="194"/>
      <c r="G27" s="943"/>
      <c r="H27" s="943"/>
      <c r="K27"/>
      <c r="M27" s="972" t="s">
        <v>506</v>
      </c>
      <c r="N27" s="972"/>
      <c r="Q27" s="244" t="s">
        <v>1019</v>
      </c>
      <c r="R27" s="142">
        <v>0</v>
      </c>
      <c r="S27" s="972" t="s">
        <v>506</v>
      </c>
      <c r="T27" s="972"/>
      <c r="W27" s="143" t="s">
        <v>1051</v>
      </c>
      <c r="X27" s="142">
        <v>60.75</v>
      </c>
      <c r="Y27" s="943"/>
      <c r="Z27" s="943"/>
      <c r="AC27" s="219" t="s">
        <v>1092</v>
      </c>
      <c r="AD27" s="219"/>
      <c r="AE27" s="972" t="s">
        <v>506</v>
      </c>
      <c r="AF27" s="972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66" t="s">
        <v>1536</v>
      </c>
      <c r="EY27" s="966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20" t="s">
        <v>2170</v>
      </c>
      <c r="HQ27" s="920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3"/>
      <c r="JE27" s="652"/>
      <c r="JF27" s="671" t="s">
        <v>2697</v>
      </c>
      <c r="JG27" s="671"/>
      <c r="JH27" s="337" t="s">
        <v>2744</v>
      </c>
      <c r="JI27" s="61">
        <f>55.72+65.82</f>
        <v>121.53999999999999</v>
      </c>
      <c r="JJ27" s="681" t="s">
        <v>2725</v>
      </c>
      <c r="JK27" s="680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6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2"/>
      <c r="JW27" s="61"/>
      <c r="JX27" s="832"/>
      <c r="JY27" s="832"/>
      <c r="JZ27" s="345" t="s">
        <v>2953</v>
      </c>
      <c r="KA27" s="534">
        <f>131.87*2</f>
        <v>263.74</v>
      </c>
      <c r="KB27" s="855"/>
      <c r="KC27" s="861"/>
      <c r="KF27" s="337" t="s">
        <v>2981</v>
      </c>
      <c r="KG27" s="533">
        <v>63.1</v>
      </c>
      <c r="KH27" s="897" t="s">
        <v>2675</v>
      </c>
      <c r="KI27" s="268">
        <v>15</v>
      </c>
      <c r="KL27" s="337" t="s">
        <v>3014</v>
      </c>
      <c r="KM27" s="61">
        <v>30.06</v>
      </c>
    </row>
    <row r="28" spans="1:303">
      <c r="A28" s="943"/>
      <c r="B28" s="943"/>
      <c r="E28" s="193" t="s">
        <v>360</v>
      </c>
      <c r="F28" s="194"/>
      <c r="G28" s="943"/>
      <c r="H28" s="943"/>
      <c r="K28" s="143" t="s">
        <v>1017</v>
      </c>
      <c r="L28" s="142">
        <f>60</f>
        <v>60</v>
      </c>
      <c r="M28" s="972" t="s">
        <v>992</v>
      </c>
      <c r="N28" s="972"/>
      <c r="Q28" s="244" t="s">
        <v>1073</v>
      </c>
      <c r="R28" s="205">
        <v>200</v>
      </c>
      <c r="S28" s="972" t="s">
        <v>992</v>
      </c>
      <c r="T28" s="972"/>
      <c r="W28" s="143" t="s">
        <v>1016</v>
      </c>
      <c r="X28" s="142">
        <v>61.35</v>
      </c>
      <c r="Y28" s="972" t="s">
        <v>506</v>
      </c>
      <c r="Z28" s="972"/>
      <c r="AC28" s="219" t="s">
        <v>1088</v>
      </c>
      <c r="AD28" s="219">
        <f>53+207+63</f>
        <v>323</v>
      </c>
      <c r="AE28" s="972" t="s">
        <v>992</v>
      </c>
      <c r="AF28" s="972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66" t="s">
        <v>1747</v>
      </c>
      <c r="FE28" s="966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20" t="s">
        <v>2170</v>
      </c>
      <c r="JA28" s="920"/>
      <c r="JB28" s="337" t="s">
        <v>2887</v>
      </c>
      <c r="JC28" s="61">
        <v>34</v>
      </c>
      <c r="JF28" s="192" t="s">
        <v>1958</v>
      </c>
      <c r="JG28" s="273">
        <f>SUM(JI6:JI7)</f>
        <v>3900.1</v>
      </c>
      <c r="JH28" s="337" t="s">
        <v>2888</v>
      </c>
      <c r="JI28" s="61">
        <f>44.8+43.4</f>
        <v>88.199999999999989</v>
      </c>
      <c r="JJ28" s="699" t="s">
        <v>2726</v>
      </c>
      <c r="JK28" s="662">
        <v>75.599999999999994</v>
      </c>
      <c r="JL28" s="388" t="s">
        <v>2830</v>
      </c>
      <c r="JM28" s="273">
        <f>SUM(JO11:JO13)</f>
        <v>116477.65199999999</v>
      </c>
      <c r="JN28" s="711" t="s">
        <v>3063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3063</v>
      </c>
      <c r="JU28" s="78">
        <f>13</f>
        <v>13</v>
      </c>
      <c r="JV28" s="792"/>
      <c r="JW28" s="61"/>
      <c r="JX28" s="832"/>
      <c r="JY28" s="832"/>
      <c r="JZ28" s="345" t="s">
        <v>2941</v>
      </c>
      <c r="KA28" s="61">
        <f>(15+6.5)*2</f>
        <v>43</v>
      </c>
      <c r="KB28" s="855"/>
      <c r="KD28" s="847" t="s">
        <v>2761</v>
      </c>
      <c r="KE28" s="847"/>
      <c r="KF28" s="337" t="s">
        <v>2985</v>
      </c>
      <c r="KG28" s="533">
        <v>45.74</v>
      </c>
      <c r="KH28" s="896" t="s">
        <v>2671</v>
      </c>
      <c r="KI28" s="2">
        <v>130</v>
      </c>
      <c r="KL28" s="337" t="s">
        <v>3098</v>
      </c>
      <c r="KM28" s="61">
        <v>21.5</v>
      </c>
      <c r="KN28" s="911" t="s">
        <v>3076</v>
      </c>
    </row>
    <row r="29" spans="1:303">
      <c r="A29" s="972" t="s">
        <v>506</v>
      </c>
      <c r="B29" s="972"/>
      <c r="E29" s="193" t="s">
        <v>282</v>
      </c>
      <c r="F29" s="194"/>
      <c r="G29" s="972" t="s">
        <v>506</v>
      </c>
      <c r="H29" s="972"/>
      <c r="K29" s="143" t="s">
        <v>1016</v>
      </c>
      <c r="L29" s="142">
        <v>0</v>
      </c>
      <c r="M29" s="971" t="s">
        <v>93</v>
      </c>
      <c r="N29" s="971"/>
      <c r="Q29" s="244" t="s">
        <v>1050</v>
      </c>
      <c r="R29" s="142">
        <v>0</v>
      </c>
      <c r="S29" s="971" t="s">
        <v>93</v>
      </c>
      <c r="T29" s="971"/>
      <c r="W29" s="143" t="s">
        <v>1015</v>
      </c>
      <c r="X29" s="142">
        <v>64</v>
      </c>
      <c r="Y29" s="972" t="s">
        <v>992</v>
      </c>
      <c r="Z29" s="972"/>
      <c r="AC29" s="219" t="s">
        <v>1089</v>
      </c>
      <c r="AD29" s="219">
        <f>63+46</f>
        <v>109</v>
      </c>
      <c r="AE29" s="971" t="s">
        <v>93</v>
      </c>
      <c r="AF29" s="971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66" t="s">
        <v>1536</v>
      </c>
      <c r="EM29" s="966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2882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2889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2782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337" t="s">
        <v>2989</v>
      </c>
      <c r="KG29" s="533">
        <v>21.12</v>
      </c>
      <c r="KH29" s="896" t="s">
        <v>2670</v>
      </c>
      <c r="KI29" s="2"/>
      <c r="KJ29" s="888" t="s">
        <v>2761</v>
      </c>
      <c r="KK29" s="888"/>
      <c r="KL29" s="337" t="s">
        <v>1863</v>
      </c>
      <c r="KM29" s="533"/>
      <c r="KN29" s="915" t="s">
        <v>3091</v>
      </c>
      <c r="KO29" s="61" t="s">
        <v>3097</v>
      </c>
    </row>
    <row r="30" spans="1:303">
      <c r="A30" s="972" t="s">
        <v>992</v>
      </c>
      <c r="B30" s="972"/>
      <c r="E30" s="193" t="s">
        <v>372</v>
      </c>
      <c r="F30" s="194"/>
      <c r="G30" s="972" t="s">
        <v>992</v>
      </c>
      <c r="H30" s="972"/>
      <c r="K30" s="143" t="s">
        <v>1015</v>
      </c>
      <c r="L30" s="142">
        <v>64</v>
      </c>
      <c r="M30" s="943" t="s">
        <v>385</v>
      </c>
      <c r="N30" s="943"/>
      <c r="Q30"/>
      <c r="S30" s="943" t="s">
        <v>385</v>
      </c>
      <c r="T30" s="943"/>
      <c r="W30" s="143" t="s">
        <v>1014</v>
      </c>
      <c r="X30" s="142">
        <v>100.01</v>
      </c>
      <c r="Y30" s="971" t="s">
        <v>93</v>
      </c>
      <c r="Z30" s="971"/>
      <c r="AC30" s="142" t="s">
        <v>1087</v>
      </c>
      <c r="AD30" s="142">
        <v>65</v>
      </c>
      <c r="AE30" s="943" t="s">
        <v>385</v>
      </c>
      <c r="AF30" s="943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66" t="s">
        <v>1747</v>
      </c>
      <c r="FK30" s="966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2667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2757</v>
      </c>
      <c r="KA30" s="61">
        <v>64</v>
      </c>
      <c r="KB30" s="852" t="s">
        <v>93</v>
      </c>
      <c r="KD30" s="388" t="s">
        <v>2829</v>
      </c>
      <c r="KE30" s="273">
        <f>SUM(KG8:KG12)</f>
        <v>360238.36</v>
      </c>
      <c r="KF30" s="9" t="s">
        <v>2196</v>
      </c>
      <c r="KG30" s="534">
        <f>341+171</f>
        <v>512</v>
      </c>
      <c r="KH30" s="898" t="s">
        <v>2447</v>
      </c>
      <c r="KI30" s="2">
        <v>1000</v>
      </c>
      <c r="KJ30" s="815" t="s">
        <v>1958</v>
      </c>
      <c r="KK30" s="273">
        <f>SUM(KM6:KM6)</f>
        <v>0</v>
      </c>
      <c r="KL30" s="337" t="s">
        <v>1863</v>
      </c>
      <c r="KM30" s="533"/>
      <c r="KN30" s="895" t="s">
        <v>2416</v>
      </c>
      <c r="KO30" s="2"/>
    </row>
    <row r="31" spans="1:303" ht="12.75" customHeight="1">
      <c r="A31" s="971" t="s">
        <v>93</v>
      </c>
      <c r="B31" s="971"/>
      <c r="E31" s="193" t="s">
        <v>1007</v>
      </c>
      <c r="F31" s="170"/>
      <c r="G31" s="971" t="s">
        <v>93</v>
      </c>
      <c r="H31" s="971"/>
      <c r="K31" s="143" t="s">
        <v>1014</v>
      </c>
      <c r="L31" s="142">
        <v>50.01</v>
      </c>
      <c r="M31" s="961" t="s">
        <v>1001</v>
      </c>
      <c r="N31" s="961"/>
      <c r="Q31" s="143" t="s">
        <v>1052</v>
      </c>
      <c r="R31" s="142">
        <v>26</v>
      </c>
      <c r="S31" s="961" t="s">
        <v>1001</v>
      </c>
      <c r="T31" s="961"/>
      <c r="W31"/>
      <c r="Y31" s="943" t="s">
        <v>385</v>
      </c>
      <c r="Z31" s="943"/>
      <c r="AC31" s="142" t="s">
        <v>1090</v>
      </c>
      <c r="AD31" s="142">
        <v>10</v>
      </c>
      <c r="AE31" s="961" t="s">
        <v>1001</v>
      </c>
      <c r="AF31" s="961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2668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2972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2206</v>
      </c>
      <c r="KA31" s="203">
        <v>30.9</v>
      </c>
      <c r="KB31" s="852" t="s">
        <v>1034</v>
      </c>
      <c r="KD31" s="350" t="s">
        <v>1392</v>
      </c>
      <c r="KE31" s="2">
        <v>0</v>
      </c>
      <c r="KF31" s="412">
        <v>34.15</v>
      </c>
      <c r="KG31" s="534"/>
      <c r="KH31" s="895" t="s">
        <v>2465</v>
      </c>
      <c r="KI31" s="61"/>
      <c r="KJ31" s="388" t="s">
        <v>2829</v>
      </c>
      <c r="KK31" s="273">
        <f>SUM(KM11:KM14)</f>
        <v>71338.076000000001</v>
      </c>
      <c r="KL31" s="337" t="s">
        <v>1863</v>
      </c>
      <c r="KM31" s="533"/>
      <c r="KN31" s="918" t="s">
        <v>3105</v>
      </c>
      <c r="KO31" s="283">
        <v>4.87</v>
      </c>
    </row>
    <row r="32" spans="1:303">
      <c r="A32" s="943" t="s">
        <v>385</v>
      </c>
      <c r="B32" s="943"/>
      <c r="E32" s="170"/>
      <c r="F32" s="170"/>
      <c r="G32" s="943" t="s">
        <v>385</v>
      </c>
      <c r="H32" s="943"/>
      <c r="K32"/>
      <c r="M32" s="968" t="s">
        <v>243</v>
      </c>
      <c r="N32" s="968"/>
      <c r="Q32" s="143" t="s">
        <v>1051</v>
      </c>
      <c r="R32" s="142">
        <v>55</v>
      </c>
      <c r="S32" s="968" t="s">
        <v>243</v>
      </c>
      <c r="T32" s="968"/>
      <c r="W32" s="243" t="s">
        <v>1072</v>
      </c>
      <c r="X32" s="243">
        <v>0</v>
      </c>
      <c r="Y32" s="961" t="s">
        <v>1001</v>
      </c>
      <c r="Z32" s="961"/>
      <c r="AE32" s="968" t="s">
        <v>243</v>
      </c>
      <c r="AF32" s="968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75" t="s">
        <v>1438</v>
      </c>
      <c r="DP32" s="975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2882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20" t="s">
        <v>2170</v>
      </c>
      <c r="IO32" s="920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6" t="s">
        <v>2689</v>
      </c>
      <c r="JC32" s="533">
        <v>74.13</v>
      </c>
      <c r="JF32" s="348" t="s">
        <v>2166</v>
      </c>
      <c r="JG32" s="2">
        <f>SUM(JI16:JI24)</f>
        <v>412.16</v>
      </c>
      <c r="JH32" s="662" t="s">
        <v>3063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2"/>
      <c r="KD32" s="346" t="s">
        <v>2165</v>
      </c>
      <c r="KE32" s="2">
        <f>SUM(KG7:KG7)</f>
        <v>10.25</v>
      </c>
      <c r="KF32" s="386" t="s">
        <v>1411</v>
      </c>
      <c r="KG32" s="408">
        <f>KC19+KE36-KI28</f>
        <v>190</v>
      </c>
      <c r="KH32" s="895" t="s">
        <v>2919</v>
      </c>
      <c r="KI32" s="61">
        <v>1.64</v>
      </c>
      <c r="KJ32" s="350" t="s">
        <v>1392</v>
      </c>
      <c r="KK32" s="2">
        <f>KM7</f>
        <v>0</v>
      </c>
      <c r="KL32" s="890" t="s">
        <v>3072</v>
      </c>
      <c r="KM32" s="78">
        <v>400</v>
      </c>
      <c r="KN32" s="895"/>
      <c r="KP32" s="907"/>
    </row>
    <row r="33" spans="1:303">
      <c r="A33" s="961" t="s">
        <v>1001</v>
      </c>
      <c r="B33" s="961"/>
      <c r="C33" s="3"/>
      <c r="D33" s="3"/>
      <c r="E33" s="246"/>
      <c r="F33" s="246"/>
      <c r="G33" s="961" t="s">
        <v>1001</v>
      </c>
      <c r="H33" s="961"/>
      <c r="K33" s="243" t="s">
        <v>1021</v>
      </c>
      <c r="L33" s="243"/>
      <c r="M33" s="973" t="s">
        <v>1034</v>
      </c>
      <c r="N33" s="973"/>
      <c r="Q33" s="143" t="s">
        <v>1016</v>
      </c>
      <c r="R33" s="142">
        <v>77.239999999999995</v>
      </c>
      <c r="S33" s="973" t="s">
        <v>1034</v>
      </c>
      <c r="T33" s="973"/>
      <c r="Y33" s="968" t="s">
        <v>243</v>
      </c>
      <c r="Z33" s="968"/>
      <c r="AC33" s="197" t="s">
        <v>1012</v>
      </c>
      <c r="AD33" s="142">
        <v>350</v>
      </c>
      <c r="AE33" s="973" t="s">
        <v>1034</v>
      </c>
      <c r="AF33" s="973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78" t="s">
        <v>1411</v>
      </c>
      <c r="DB33" s="979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2883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3066</v>
      </c>
      <c r="IQ33" s="78">
        <v>40</v>
      </c>
      <c r="IR33" t="s">
        <v>93</v>
      </c>
      <c r="IU33" s="494"/>
      <c r="IV33" s="609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3039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2"/>
      <c r="KD33" s="348" t="s">
        <v>2949</v>
      </c>
      <c r="KE33" s="2">
        <f>SUM(KG13:KG20)</f>
        <v>844.86000000000013</v>
      </c>
      <c r="KF33" s="409">
        <v>10</v>
      </c>
      <c r="KG33" s="816" t="s">
        <v>2874</v>
      </c>
      <c r="KH33" s="895" t="s">
        <v>2978</v>
      </c>
      <c r="KI33" s="61"/>
      <c r="KJ33" s="346" t="s">
        <v>2165</v>
      </c>
      <c r="KK33" s="2">
        <f>SUM(KM8:KM10)</f>
        <v>1201.5700000000002</v>
      </c>
      <c r="KL33" s="9" t="s">
        <v>2196</v>
      </c>
      <c r="KM33" s="534">
        <v>165</v>
      </c>
      <c r="KN33" s="912"/>
      <c r="KO33" s="2"/>
      <c r="KP33" s="907"/>
    </row>
    <row r="34" spans="1:303">
      <c r="A34" s="968" t="s">
        <v>243</v>
      </c>
      <c r="B34" s="968"/>
      <c r="E34" s="170"/>
      <c r="F34" s="170"/>
      <c r="G34" s="968" t="s">
        <v>243</v>
      </c>
      <c r="H34" s="968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73" t="s">
        <v>1034</v>
      </c>
      <c r="Z34" s="973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2"/>
      <c r="KD34" s="337" t="s">
        <v>2164</v>
      </c>
      <c r="KE34" s="2">
        <f>SUM(KG21:KG29)</f>
        <v>457.56100000000004</v>
      </c>
      <c r="KF34" s="409">
        <v>70</v>
      </c>
      <c r="KG34" s="543" t="s">
        <v>1828</v>
      </c>
      <c r="KH34" s="895" t="s">
        <v>2987</v>
      </c>
      <c r="KI34" s="283">
        <v>52.8</v>
      </c>
      <c r="KJ34" s="348" t="s">
        <v>2949</v>
      </c>
      <c r="KK34" s="2">
        <f>SUM(KM15:KM24)</f>
        <v>192.56400000000002</v>
      </c>
      <c r="KL34" s="412">
        <v>27.24</v>
      </c>
      <c r="KM34" s="534"/>
      <c r="KN34" s="914"/>
      <c r="KO34" s="2"/>
    </row>
    <row r="35" spans="1:303" ht="14.25" customHeight="1">
      <c r="A35" s="974" t="s">
        <v>342</v>
      </c>
      <c r="B35" s="974"/>
      <c r="E35" s="187" t="s">
        <v>368</v>
      </c>
      <c r="F35" s="170"/>
      <c r="G35" s="974" t="s">
        <v>342</v>
      </c>
      <c r="H35" s="974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6" t="s">
        <v>3067</v>
      </c>
      <c r="JC35" s="78">
        <v>16.87</v>
      </c>
      <c r="JH35" s="386" t="s">
        <v>1411</v>
      </c>
      <c r="JI35" s="408">
        <f>JE21+JG37-JK22</f>
        <v>100</v>
      </c>
      <c r="JL35" s="714" t="s">
        <v>2793</v>
      </c>
      <c r="JM35" s="353">
        <f>50+400+200+100</f>
        <v>750</v>
      </c>
      <c r="JN35" s="409">
        <v>9</v>
      </c>
      <c r="JO35" s="543" t="s">
        <v>2754</v>
      </c>
      <c r="JP35" s="711" t="s">
        <v>506</v>
      </c>
      <c r="JT35" s="409">
        <v>10</v>
      </c>
      <c r="JU35" s="543" t="s">
        <v>2820</v>
      </c>
      <c r="JZ35" s="337" t="s">
        <v>2873</v>
      </c>
      <c r="KA35" s="61">
        <v>115</v>
      </c>
      <c r="KD35" s="337" t="s">
        <v>2972</v>
      </c>
      <c r="KE35" s="868">
        <f>SUM(KG23:KG29)</f>
        <v>339.56</v>
      </c>
      <c r="KF35" s="409">
        <v>45</v>
      </c>
      <c r="KG35" s="543" t="s">
        <v>2218</v>
      </c>
      <c r="KH35" s="895" t="s">
        <v>2997</v>
      </c>
      <c r="KI35" s="890">
        <v>104</v>
      </c>
      <c r="KJ35" s="337" t="s">
        <v>2164</v>
      </c>
      <c r="KK35" s="2">
        <f>SUM(KM25:KM31)</f>
        <v>161.56</v>
      </c>
      <c r="KL35" s="386" t="s">
        <v>1411</v>
      </c>
      <c r="KM35" s="408">
        <f>KI28+KK38-KO23</f>
        <v>190</v>
      </c>
      <c r="KN35" s="890" t="s">
        <v>506</v>
      </c>
    </row>
    <row r="36" spans="1:303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1" t="s">
        <v>93</v>
      </c>
      <c r="JS36" s="494"/>
      <c r="JT36" s="757" t="s">
        <v>2843</v>
      </c>
      <c r="JU36" s="533">
        <v>139</v>
      </c>
      <c r="JZ36" s="337" t="s">
        <v>2872</v>
      </c>
      <c r="KA36" s="61">
        <v>175</v>
      </c>
      <c r="KD36" s="341" t="s">
        <v>2988</v>
      </c>
      <c r="KE36" s="869">
        <v>100</v>
      </c>
      <c r="KF36" s="409">
        <v>30</v>
      </c>
      <c r="KG36" s="543" t="s">
        <v>2970</v>
      </c>
      <c r="KH36" s="895" t="s">
        <v>2416</v>
      </c>
      <c r="KJ36" s="337" t="s">
        <v>2972</v>
      </c>
      <c r="KK36" s="868">
        <f>SUM(KM27:KM31)</f>
        <v>51.56</v>
      </c>
      <c r="KL36" s="409">
        <v>30</v>
      </c>
      <c r="KM36" s="816" t="s">
        <v>2218</v>
      </c>
      <c r="KN36" s="960" t="s">
        <v>3104</v>
      </c>
      <c r="KO36" s="943"/>
    </row>
    <row r="37" spans="1:303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80" t="s">
        <v>1536</v>
      </c>
      <c r="DT37" s="981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70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1" t="s">
        <v>1034</v>
      </c>
      <c r="JS37" s="494"/>
      <c r="JT37" s="813" t="s">
        <v>2854</v>
      </c>
      <c r="JU37" s="814">
        <v>5.35</v>
      </c>
      <c r="JZ37" s="337" t="s">
        <v>2922</v>
      </c>
      <c r="KA37" s="533">
        <v>10</v>
      </c>
      <c r="KF37" s="409">
        <v>6</v>
      </c>
      <c r="KG37" s="543" t="s">
        <v>2968</v>
      </c>
      <c r="KH37" s="895" t="s">
        <v>3011</v>
      </c>
      <c r="KI37" s="2">
        <v>194</v>
      </c>
      <c r="KL37" s="409">
        <v>6</v>
      </c>
      <c r="KM37" s="543" t="s">
        <v>3089</v>
      </c>
    </row>
    <row r="38" spans="1:303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9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3" t="s">
        <v>2813</v>
      </c>
      <c r="JU38" s="781">
        <v>2.2000000000000002</v>
      </c>
      <c r="JZ38" s="337" t="s">
        <v>2897</v>
      </c>
      <c r="KA38" s="61">
        <f>45.73</f>
        <v>45.73</v>
      </c>
      <c r="KF38" s="409">
        <v>25.9</v>
      </c>
      <c r="KG38" s="543" t="s">
        <v>2999</v>
      </c>
      <c r="KJ38" s="341" t="s">
        <v>3084</v>
      </c>
      <c r="KK38" s="869">
        <v>200</v>
      </c>
      <c r="KL38" s="409">
        <v>10</v>
      </c>
      <c r="KM38" s="543" t="s">
        <v>3088</v>
      </c>
      <c r="KN38" s="890" t="s">
        <v>3100</v>
      </c>
    </row>
    <row r="39" spans="1:303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3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6" t="s">
        <v>2855</v>
      </c>
      <c r="JT39" s="783" t="s">
        <v>2832</v>
      </c>
      <c r="JU39" s="781">
        <v>89.39</v>
      </c>
      <c r="JX39" s="794" t="s">
        <v>2761</v>
      </c>
      <c r="JY39" s="794"/>
      <c r="JZ39" s="337" t="s">
        <v>2903</v>
      </c>
      <c r="KA39" s="533">
        <v>33.03</v>
      </c>
      <c r="KF39" s="882" t="s">
        <v>2990</v>
      </c>
      <c r="KG39" s="532">
        <v>70</v>
      </c>
      <c r="KL39" s="409">
        <v>6</v>
      </c>
      <c r="KM39" s="543" t="s">
        <v>3087</v>
      </c>
      <c r="KN39" s="890" t="s">
        <v>3101</v>
      </c>
    </row>
    <row r="40" spans="1:303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75" t="s">
        <v>1438</v>
      </c>
      <c r="DJ40" s="975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20" t="s">
        <v>2170</v>
      </c>
      <c r="II40" s="920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5"/>
      <c r="JM40" s="494"/>
      <c r="JN40" s="409">
        <f>86*3+96</f>
        <v>354</v>
      </c>
      <c r="JO40" s="63" t="s">
        <v>2760</v>
      </c>
      <c r="JT40" s="780" t="s">
        <v>2814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65" t="s">
        <v>3040</v>
      </c>
      <c r="KG40" s="849">
        <v>324</v>
      </c>
      <c r="KH40" s="890" t="s">
        <v>506</v>
      </c>
      <c r="KJ40" s="890" t="s">
        <v>3094</v>
      </c>
      <c r="KK40" s="896"/>
      <c r="KL40" s="409">
        <v>100</v>
      </c>
      <c r="KM40" s="543" t="s">
        <v>3085</v>
      </c>
      <c r="KQ40" s="745"/>
    </row>
    <row r="41" spans="1:303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2751</v>
      </c>
      <c r="JO41" s="533">
        <v>7.5</v>
      </c>
      <c r="JR41" s="757"/>
      <c r="JS41" s="757"/>
      <c r="JT41" s="782" t="s">
        <v>2825</v>
      </c>
      <c r="JU41" s="781">
        <v>18.8</v>
      </c>
      <c r="JV41" s="757"/>
      <c r="JW41" s="757"/>
      <c r="JX41" s="388" t="s">
        <v>2829</v>
      </c>
      <c r="JY41" s="273">
        <f>SUM(KA20:KA23)</f>
        <v>6114.74</v>
      </c>
      <c r="JZ41" s="337" t="s">
        <v>2881</v>
      </c>
      <c r="KA41" s="533">
        <v>31</v>
      </c>
      <c r="KB41" s="844"/>
      <c r="KC41" s="859"/>
      <c r="KD41" s="849"/>
      <c r="KE41" s="896"/>
      <c r="KF41" s="901" t="s">
        <v>2971</v>
      </c>
      <c r="KG41" s="849">
        <v>39.700000000000003</v>
      </c>
      <c r="KH41" s="890" t="s">
        <v>93</v>
      </c>
      <c r="KI41" s="890"/>
      <c r="KJ41" s="890" t="s">
        <v>3095</v>
      </c>
      <c r="KK41" s="896"/>
      <c r="KL41" s="409">
        <v>9</v>
      </c>
      <c r="KM41" s="543" t="s">
        <v>3086</v>
      </c>
      <c r="KN41" s="890"/>
      <c r="KO41" s="890"/>
      <c r="KP41" s="890"/>
      <c r="KQ41"/>
    </row>
    <row r="42" spans="1:303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2818</v>
      </c>
      <c r="JU42" s="781">
        <v>89.8</v>
      </c>
      <c r="JX42" s="350" t="s">
        <v>1392</v>
      </c>
      <c r="JY42" s="2">
        <f>KA10</f>
        <v>5.99</v>
      </c>
      <c r="JZ42" s="337" t="s">
        <v>2907</v>
      </c>
      <c r="KA42" s="533">
        <v>13.15</v>
      </c>
      <c r="KE42" s="896"/>
      <c r="KF42" s="212" t="s">
        <v>2590</v>
      </c>
      <c r="KG42" s="407">
        <v>110.1</v>
      </c>
      <c r="KK42" s="896"/>
      <c r="KL42" s="409">
        <v>10</v>
      </c>
      <c r="KM42" s="543" t="s">
        <v>3096</v>
      </c>
      <c r="KQ42" s="807"/>
    </row>
    <row r="43" spans="1:303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2904</v>
      </c>
      <c r="KA43" s="533">
        <v>38.200000000000003</v>
      </c>
      <c r="KB43" s="844"/>
      <c r="KC43" s="859"/>
      <c r="KD43" s="849"/>
      <c r="KE43" s="917" t="s">
        <v>2855</v>
      </c>
      <c r="KF43" s="901" t="s">
        <v>2983</v>
      </c>
      <c r="KG43" s="849">
        <v>81.84</v>
      </c>
      <c r="KH43" s="890"/>
      <c r="KI43" s="890"/>
      <c r="KJ43" s="890"/>
      <c r="KK43" s="890"/>
      <c r="KL43" s="409"/>
      <c r="KM43" s="543"/>
      <c r="KN43" s="890"/>
      <c r="KO43" s="890"/>
      <c r="KP43" s="890"/>
      <c r="KQ43"/>
    </row>
    <row r="44" spans="1:303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5"/>
      <c r="IY44" s="745"/>
      <c r="JB44" s="409">
        <v>13</v>
      </c>
      <c r="JC44" s="543" t="s">
        <v>2662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2797</v>
      </c>
      <c r="JO44" s="533">
        <v>13.3</v>
      </c>
      <c r="JP44" s="807"/>
      <c r="JQ44" s="807"/>
      <c r="JT44" s="784" t="s">
        <v>2590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2906</v>
      </c>
      <c r="KA44" s="533">
        <v>10.5</v>
      </c>
      <c r="KE44" s="896"/>
      <c r="KF44" s="901" t="s">
        <v>2967</v>
      </c>
      <c r="KG44" s="849">
        <v>37.700000000000003</v>
      </c>
      <c r="KL44" s="882" t="s">
        <v>3077</v>
      </c>
      <c r="KM44" s="532">
        <v>2.2000000000000002</v>
      </c>
    </row>
    <row r="45" spans="1:303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9" t="s">
        <v>2633</v>
      </c>
      <c r="JC45" s="532">
        <v>18</v>
      </c>
      <c r="JG45" s="495"/>
      <c r="JH45" s="400" t="s">
        <v>3052</v>
      </c>
      <c r="JI45" s="533">
        <v>65</v>
      </c>
      <c r="JN45" s="711" t="s">
        <v>2796</v>
      </c>
      <c r="JO45" s="533">
        <v>120.36</v>
      </c>
      <c r="JT45" s="799" t="s">
        <v>2856</v>
      </c>
      <c r="JU45" s="800">
        <v>27.83</v>
      </c>
      <c r="JX45" s="337" t="s">
        <v>2164</v>
      </c>
      <c r="JY45" s="2">
        <f>SUM(KA34:KA46)</f>
        <v>681.71</v>
      </c>
      <c r="JZ45" s="337" t="s">
        <v>2942</v>
      </c>
      <c r="KA45" s="61">
        <f>47.8+1.2+2.5+3.2</f>
        <v>54.7</v>
      </c>
      <c r="KE45" s="896"/>
      <c r="KF45" s="901" t="s">
        <v>2966</v>
      </c>
      <c r="KG45" s="849">
        <v>35.25</v>
      </c>
      <c r="KL45" s="890" t="s">
        <v>3099</v>
      </c>
      <c r="KM45" s="890">
        <v>82.58</v>
      </c>
    </row>
    <row r="46" spans="1:303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6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9" t="s">
        <v>2837</v>
      </c>
      <c r="JU46" s="800">
        <v>8.61</v>
      </c>
      <c r="JX46" s="337" t="s">
        <v>2972</v>
      </c>
      <c r="JY46" s="2">
        <f>SUM(KA38:KA46)</f>
        <v>301.70999999999998</v>
      </c>
      <c r="JZ46" s="337" t="s">
        <v>2931</v>
      </c>
      <c r="KA46" s="533">
        <v>26.5</v>
      </c>
      <c r="KE46" s="896"/>
      <c r="KF46" s="902" t="s">
        <v>2984</v>
      </c>
      <c r="KG46" s="849">
        <v>98.58</v>
      </c>
    </row>
    <row r="47" spans="1:303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9" t="s">
        <v>2838</v>
      </c>
      <c r="JU47" s="800">
        <v>19.46</v>
      </c>
      <c r="JZ47" s="796" t="s">
        <v>3063</v>
      </c>
      <c r="KA47" s="78">
        <f>8+61+1</f>
        <v>70</v>
      </c>
      <c r="KE47" s="896"/>
      <c r="KM47" s="407"/>
    </row>
    <row r="48" spans="1:303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9" t="s">
        <v>2840</v>
      </c>
      <c r="JU48" s="801">
        <f>5.42+0.41+0.58+2.33+0.29+0.28+0.26+1.45+0.29+4.73+1.54</f>
        <v>17.579999999999998</v>
      </c>
      <c r="JZ48" s="844" t="s">
        <v>3064</v>
      </c>
      <c r="KA48" s="78">
        <v>300</v>
      </c>
    </row>
    <row r="49" spans="41:301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84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9" t="s">
        <v>2842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301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84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6"/>
      <c r="JT50" s="803" t="s">
        <v>2844</v>
      </c>
      <c r="JU50" s="801">
        <v>21.27</v>
      </c>
      <c r="JZ50" s="412">
        <v>47.04</v>
      </c>
      <c r="KA50" s="534" t="s">
        <v>2943</v>
      </c>
    </row>
    <row r="51" spans="41:301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84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4" t="s">
        <v>2841</v>
      </c>
      <c r="JU51" s="805"/>
      <c r="JZ51" s="386" t="s">
        <v>1411</v>
      </c>
      <c r="KA51" s="408">
        <f>JW19+JY53+JY8-KC19</f>
        <v>280</v>
      </c>
      <c r="KG51" s="851"/>
    </row>
    <row r="52" spans="41:301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84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2944</v>
      </c>
    </row>
    <row r="53" spans="41:301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2932</v>
      </c>
      <c r="JY53" s="353">
        <v>200</v>
      </c>
      <c r="JZ53" s="409">
        <v>25</v>
      </c>
      <c r="KA53" s="543" t="s">
        <v>2874</v>
      </c>
    </row>
    <row r="54" spans="41:301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301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6">
        <v>20</v>
      </c>
      <c r="KA55" s="827" t="s">
        <v>2879</v>
      </c>
    </row>
    <row r="56" spans="41:301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2908</v>
      </c>
      <c r="KM56" s="893"/>
    </row>
    <row r="57" spans="41:301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2910</v>
      </c>
    </row>
    <row r="58" spans="41:301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2909</v>
      </c>
    </row>
    <row r="59" spans="41:301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301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2913</v>
      </c>
      <c r="KA60" s="796">
        <v>31.001000000000001</v>
      </c>
    </row>
    <row r="61" spans="41:301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3033</v>
      </c>
      <c r="KA61" s="407">
        <f>30/5.217</f>
        <v>5.7504312823461765</v>
      </c>
    </row>
    <row r="62" spans="41:301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2911</v>
      </c>
      <c r="KA62" s="796">
        <v>21.81</v>
      </c>
      <c r="KO62" s="390"/>
    </row>
    <row r="63" spans="41:301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2946</v>
      </c>
      <c r="KA63" s="796">
        <v>11.25</v>
      </c>
    </row>
    <row r="64" spans="41:301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2871</v>
      </c>
      <c r="KA64" s="796">
        <v>117.5</v>
      </c>
    </row>
    <row r="65" spans="111:295">
      <c r="DG65" s="218" t="s">
        <v>1167</v>
      </c>
      <c r="DH65" s="302">
        <v>1500</v>
      </c>
      <c r="IP65" s="400"/>
      <c r="JK65" s="390"/>
      <c r="JQ65" s="390"/>
      <c r="JZ65" s="796" t="s">
        <v>2899</v>
      </c>
      <c r="KA65" s="825">
        <v>36.200000000000003</v>
      </c>
    </row>
    <row r="66" spans="111:295">
      <c r="IJ66" s="398"/>
      <c r="IK66" s="344"/>
      <c r="IP66" s="400"/>
      <c r="JZ66" s="837" t="s">
        <v>2893</v>
      </c>
      <c r="KA66" s="796">
        <v>9.8000000000000007</v>
      </c>
    </row>
    <row r="67" spans="111:295">
      <c r="IK67" s="493"/>
      <c r="IM67" s="390"/>
      <c r="IP67" s="400"/>
      <c r="IS67" s="390"/>
      <c r="JZ67" s="835" t="s">
        <v>2929</v>
      </c>
      <c r="KA67" s="835">
        <v>9.77</v>
      </c>
    </row>
    <row r="68" spans="111:295">
      <c r="IJ68" s="400"/>
      <c r="IP68" s="400"/>
      <c r="JZ68" s="835" t="s">
        <v>2928</v>
      </c>
      <c r="KA68" s="835">
        <v>11.9</v>
      </c>
      <c r="KI68" s="390"/>
    </row>
    <row r="69" spans="111:295">
      <c r="HO69" s="390"/>
      <c r="IG69" s="390"/>
      <c r="IJ69" s="400"/>
      <c r="JZ69" s="835" t="s">
        <v>2930</v>
      </c>
      <c r="KA69" s="835">
        <v>6.62</v>
      </c>
    </row>
    <row r="70" spans="111:295">
      <c r="IJ70" s="400"/>
      <c r="JZ70" s="11" t="s">
        <v>2880</v>
      </c>
      <c r="KA70" s="807">
        <v>69</v>
      </c>
    </row>
    <row r="71" spans="111:295">
      <c r="IJ71" s="400"/>
      <c r="JZ71" s="11" t="s">
        <v>2900</v>
      </c>
      <c r="KA71" s="796">
        <v>8</v>
      </c>
    </row>
    <row r="72" spans="111:295">
      <c r="IJ72" s="400"/>
      <c r="JY72" s="796" t="s">
        <v>2855</v>
      </c>
      <c r="JZ72" s="845" t="s">
        <v>2945</v>
      </c>
      <c r="KA72" s="843">
        <v>29.7</v>
      </c>
    </row>
    <row r="73" spans="111:295">
      <c r="IJ73" s="400"/>
      <c r="JZ73" s="11" t="s">
        <v>2912</v>
      </c>
      <c r="KA73" s="796">
        <v>8.1999999999999993</v>
      </c>
    </row>
    <row r="74" spans="111:295">
      <c r="HI74" s="390"/>
    </row>
    <row r="76" spans="111:295">
      <c r="GW76" s="390"/>
    </row>
    <row r="77" spans="111:295">
      <c r="HU77" s="390"/>
    </row>
    <row r="78" spans="111:295">
      <c r="HC78" s="390"/>
    </row>
    <row r="79" spans="111:295">
      <c r="IA79" s="390"/>
    </row>
  </sheetData>
  <mergeCells count="254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N36:KO36"/>
    <mergeCell ref="KN21:KO2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KJ15:KK15"/>
    <mergeCell ref="KI12:KI13"/>
    <mergeCell ref="KD15:KE15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topLeftCell="L1" zoomScaleNormal="100" workbookViewId="0">
      <selection activeCell="V45" sqref="V45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  <col min="22" max="22" width="11.28515625" style="879" bestFit="1" customWidth="1"/>
    <col min="23" max="23" width="6" style="909" customWidth="1"/>
    <col min="24" max="24" width="8.5703125" style="909" bestFit="1" customWidth="1"/>
  </cols>
  <sheetData>
    <row r="1" spans="2:24" s="767" customFormat="1" ht="5.45" customHeight="1">
      <c r="B1" s="879"/>
      <c r="F1" s="879"/>
      <c r="J1" s="879"/>
      <c r="N1" s="879"/>
      <c r="R1" s="879"/>
      <c r="V1" s="879"/>
      <c r="W1" s="909"/>
      <c r="X1" s="909"/>
    </row>
    <row r="2" spans="2:24" s="767" customFormat="1">
      <c r="B2" s="879"/>
      <c r="D2" t="s">
        <v>2808</v>
      </c>
      <c r="F2" s="879"/>
      <c r="G2" s="767" t="s">
        <v>2809</v>
      </c>
      <c r="H2" s="767" t="s">
        <v>2808</v>
      </c>
      <c r="J2" s="879"/>
      <c r="K2" s="767" t="s">
        <v>2809</v>
      </c>
      <c r="L2" s="767" t="s">
        <v>2808</v>
      </c>
      <c r="N2" s="879"/>
      <c r="O2" s="767" t="s">
        <v>2809</v>
      </c>
      <c r="P2" s="767" t="s">
        <v>2808</v>
      </c>
      <c r="R2" s="879"/>
      <c r="S2" s="872"/>
      <c r="T2" s="872"/>
      <c r="V2" s="879"/>
      <c r="W2" s="909"/>
      <c r="X2" s="909"/>
    </row>
    <row r="3" spans="2:24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4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31" t="s">
        <v>2975</v>
      </c>
      <c r="S4" s="931"/>
      <c r="T4" s="767" t="s">
        <v>2808</v>
      </c>
      <c r="V4" s="931" t="s">
        <v>2975</v>
      </c>
      <c r="W4" s="931"/>
      <c r="X4" s="909" t="s">
        <v>2808</v>
      </c>
    </row>
    <row r="5" spans="2:24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  <c r="X5" s="831"/>
    </row>
    <row r="6" spans="2:24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  <c r="V6" s="879">
        <v>45199</v>
      </c>
      <c r="X6" s="831">
        <f t="shared" ref="X6:X17" si="5">W6*1000*3.4%/365</f>
        <v>0</v>
      </c>
    </row>
    <row r="7" spans="2:24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6">O7*1000*0.05%/365</f>
        <v>1.0136986301369864</v>
      </c>
      <c r="R7" s="879">
        <v>45167</v>
      </c>
      <c r="S7">
        <v>150</v>
      </c>
      <c r="T7" s="831">
        <f t="shared" si="4"/>
        <v>13.972602739726028</v>
      </c>
      <c r="V7" s="879">
        <v>45198</v>
      </c>
      <c r="X7" s="831">
        <f t="shared" si="5"/>
        <v>0</v>
      </c>
    </row>
    <row r="8" spans="2:24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6"/>
        <v>1.0136986301369864</v>
      </c>
      <c r="R8" s="879">
        <v>45166</v>
      </c>
      <c r="S8">
        <v>9</v>
      </c>
      <c r="T8" s="831">
        <f t="shared" si="4"/>
        <v>0.83835616438356164</v>
      </c>
      <c r="V8" s="879">
        <v>45197</v>
      </c>
      <c r="X8" s="831">
        <f t="shared" si="5"/>
        <v>0</v>
      </c>
    </row>
    <row r="9" spans="2:24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6"/>
        <v>0.93835616438356162</v>
      </c>
      <c r="R9" s="879">
        <v>45165</v>
      </c>
      <c r="S9">
        <v>150</v>
      </c>
      <c r="T9" s="831">
        <f t="shared" si="4"/>
        <v>13.972602739726028</v>
      </c>
      <c r="V9" s="879">
        <v>45196</v>
      </c>
      <c r="X9" s="831">
        <f t="shared" si="5"/>
        <v>0</v>
      </c>
    </row>
    <row r="10" spans="2:24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6"/>
        <v>0.93835616438356162</v>
      </c>
      <c r="R10" s="879">
        <v>45164</v>
      </c>
      <c r="S10">
        <v>150</v>
      </c>
      <c r="T10" s="831">
        <f t="shared" si="4"/>
        <v>13.972602739726028</v>
      </c>
      <c r="V10" s="879">
        <v>45195</v>
      </c>
      <c r="X10" s="831">
        <f t="shared" si="5"/>
        <v>0</v>
      </c>
    </row>
    <row r="11" spans="2:24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6"/>
        <v>0.93835616438356162</v>
      </c>
      <c r="R11" s="879">
        <v>45163</v>
      </c>
      <c r="S11">
        <v>0</v>
      </c>
      <c r="T11" s="831">
        <f t="shared" si="4"/>
        <v>0</v>
      </c>
      <c r="V11" s="879">
        <v>45194</v>
      </c>
      <c r="X11" s="831">
        <f t="shared" si="5"/>
        <v>0</v>
      </c>
    </row>
    <row r="12" spans="2:24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6"/>
        <v>1.0232876712328767</v>
      </c>
      <c r="R12" s="879">
        <v>45162</v>
      </c>
      <c r="S12">
        <v>0</v>
      </c>
      <c r="T12" s="831">
        <f t="shared" si="4"/>
        <v>0</v>
      </c>
      <c r="V12" s="879">
        <v>45193</v>
      </c>
      <c r="X12" s="831">
        <f t="shared" si="5"/>
        <v>0</v>
      </c>
    </row>
    <row r="13" spans="2:24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6"/>
        <v>1.0205479452054795</v>
      </c>
      <c r="R13" s="880">
        <v>45161</v>
      </c>
      <c r="S13">
        <v>200</v>
      </c>
      <c r="T13" s="831">
        <f t="shared" si="4"/>
        <v>18.630136986301373</v>
      </c>
      <c r="V13" s="879">
        <v>45192</v>
      </c>
      <c r="X13" s="831">
        <f t="shared" si="5"/>
        <v>0</v>
      </c>
    </row>
    <row r="14" spans="2:24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6"/>
        <v>1.0205479452054795</v>
      </c>
      <c r="R14" s="879">
        <v>45160</v>
      </c>
      <c r="S14">
        <v>200</v>
      </c>
      <c r="T14" s="831">
        <f t="shared" si="4"/>
        <v>18.630136986301373</v>
      </c>
      <c r="V14" s="879">
        <v>45191</v>
      </c>
      <c r="X14" s="831">
        <f t="shared" si="5"/>
        <v>0</v>
      </c>
    </row>
    <row r="15" spans="2:24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6"/>
        <v>1.0205479452054795</v>
      </c>
      <c r="R15" s="879">
        <v>45159</v>
      </c>
      <c r="S15">
        <v>200</v>
      </c>
      <c r="T15" s="831">
        <f t="shared" si="4"/>
        <v>18.630136986301373</v>
      </c>
      <c r="V15" s="879">
        <v>45190</v>
      </c>
      <c r="X15" s="831">
        <f t="shared" si="5"/>
        <v>0</v>
      </c>
    </row>
    <row r="16" spans="2:24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6"/>
        <v>1.0205479452054795</v>
      </c>
      <c r="R16" s="879">
        <v>45158</v>
      </c>
      <c r="S16">
        <v>200</v>
      </c>
      <c r="T16" s="831">
        <f t="shared" si="4"/>
        <v>18.630136986301373</v>
      </c>
      <c r="V16" s="879">
        <v>45189</v>
      </c>
      <c r="X16" s="831">
        <f t="shared" si="5"/>
        <v>0</v>
      </c>
    </row>
    <row r="17" spans="2:24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6"/>
        <v>1.0205479452054795</v>
      </c>
      <c r="R17" s="879">
        <v>45157</v>
      </c>
      <c r="S17">
        <v>200</v>
      </c>
      <c r="T17" s="831">
        <f t="shared" si="4"/>
        <v>18.630136986301373</v>
      </c>
      <c r="V17" s="879">
        <v>45188</v>
      </c>
      <c r="X17" s="831">
        <f t="shared" si="5"/>
        <v>0</v>
      </c>
    </row>
    <row r="18" spans="2:24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6"/>
        <v>0.81506849315068497</v>
      </c>
      <c r="R18" s="879">
        <v>45156</v>
      </c>
      <c r="S18">
        <v>200</v>
      </c>
      <c r="T18" s="831">
        <f>S18*1000*3.4%/365</f>
        <v>18.630136986301373</v>
      </c>
      <c r="V18" s="879">
        <v>45187</v>
      </c>
      <c r="X18" s="831">
        <f>W18*1000*3.4%/365</f>
        <v>0</v>
      </c>
    </row>
    <row r="19" spans="2:24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6"/>
        <v>1.0068493150684932</v>
      </c>
      <c r="R19" s="879">
        <v>45155</v>
      </c>
      <c r="S19">
        <v>200</v>
      </c>
      <c r="T19" s="831">
        <f t="shared" ref="T19:T31" si="7">S19*1000*3.4%/365</f>
        <v>18.630136986301373</v>
      </c>
      <c r="V19" s="879">
        <v>45186</v>
      </c>
      <c r="X19" s="831">
        <f t="shared" ref="X19:X35" si="8">W19*1000*3.4%/365</f>
        <v>0</v>
      </c>
    </row>
    <row r="20" spans="2:24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6"/>
        <v>1.0068493150684932</v>
      </c>
      <c r="R20" s="879">
        <v>45154</v>
      </c>
      <c r="S20" s="872">
        <v>200</v>
      </c>
      <c r="T20" s="831">
        <f t="shared" si="7"/>
        <v>18.630136986301373</v>
      </c>
      <c r="V20" s="879">
        <v>45185</v>
      </c>
      <c r="X20" s="831">
        <f t="shared" si="8"/>
        <v>0</v>
      </c>
    </row>
    <row r="21" spans="2:24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6"/>
        <v>1.0068493150684932</v>
      </c>
      <c r="R21" s="879">
        <v>45153</v>
      </c>
      <c r="S21" s="872">
        <v>200</v>
      </c>
      <c r="T21" s="831">
        <f t="shared" si="7"/>
        <v>18.630136986301373</v>
      </c>
      <c r="V21" s="879">
        <v>45184</v>
      </c>
      <c r="X21" s="831">
        <f t="shared" si="8"/>
        <v>0</v>
      </c>
    </row>
    <row r="22" spans="2:24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6"/>
        <v>1.0068493150684932</v>
      </c>
      <c r="R22" s="879">
        <v>45152</v>
      </c>
      <c r="S22">
        <v>200</v>
      </c>
      <c r="T22" s="831">
        <f t="shared" si="7"/>
        <v>18.630136986301373</v>
      </c>
      <c r="V22" s="879">
        <v>45183</v>
      </c>
      <c r="X22" s="831">
        <f t="shared" si="8"/>
        <v>0</v>
      </c>
    </row>
    <row r="23" spans="2:24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6"/>
        <v>1.0068493150684932</v>
      </c>
      <c r="R23" s="879">
        <v>45151</v>
      </c>
      <c r="S23">
        <v>200</v>
      </c>
      <c r="T23" s="831">
        <f t="shared" si="7"/>
        <v>18.630136986301373</v>
      </c>
      <c r="V23" s="879">
        <v>45182</v>
      </c>
      <c r="X23" s="831">
        <f t="shared" si="8"/>
        <v>0</v>
      </c>
    </row>
    <row r="24" spans="2:24">
      <c r="B24" s="879">
        <v>45068</v>
      </c>
      <c r="C24" s="768">
        <v>545</v>
      </c>
      <c r="D24" s="831">
        <f t="shared" ref="D24:D32" si="9">C24*1000*0.05%/365</f>
        <v>0.74657534246575341</v>
      </c>
      <c r="F24" s="879">
        <v>45099</v>
      </c>
      <c r="G24" s="830">
        <v>585</v>
      </c>
      <c r="H24" s="831">
        <f t="shared" ref="H24:H32" si="10">G24*1000*0.05%/365</f>
        <v>0.80136986301369861</v>
      </c>
      <c r="J24" s="879">
        <v>45129</v>
      </c>
      <c r="K24" s="830">
        <v>735</v>
      </c>
      <c r="L24" s="831">
        <f t="shared" ref="L24:L32" si="11">K24*1000*0.05%/365</f>
        <v>1.0068493150684932</v>
      </c>
      <c r="N24" s="879">
        <v>45160</v>
      </c>
      <c r="O24" s="767">
        <v>735</v>
      </c>
      <c r="P24" s="831">
        <f t="shared" si="6"/>
        <v>1.0068493150684932</v>
      </c>
      <c r="R24" s="879">
        <v>45150</v>
      </c>
      <c r="S24">
        <v>200</v>
      </c>
      <c r="T24" s="831">
        <f t="shared" si="7"/>
        <v>18.630136986301373</v>
      </c>
      <c r="V24" s="879">
        <v>45181</v>
      </c>
      <c r="X24" s="831">
        <f t="shared" si="8"/>
        <v>0</v>
      </c>
    </row>
    <row r="25" spans="2:24" s="874" customFormat="1">
      <c r="B25" s="880">
        <v>45069</v>
      </c>
      <c r="C25" s="874">
        <v>545</v>
      </c>
      <c r="D25" s="876">
        <f t="shared" si="9"/>
        <v>0.74657534246575341</v>
      </c>
      <c r="F25" s="880">
        <v>45100</v>
      </c>
      <c r="G25" s="874">
        <v>585</v>
      </c>
      <c r="H25" s="876">
        <f t="shared" si="10"/>
        <v>0.80136986301369861</v>
      </c>
      <c r="J25" s="880">
        <v>45130</v>
      </c>
      <c r="K25" s="874">
        <v>735</v>
      </c>
      <c r="L25" s="876">
        <f t="shared" si="11"/>
        <v>1.0068493150684932</v>
      </c>
      <c r="N25" s="880">
        <v>45161</v>
      </c>
      <c r="O25" s="874">
        <v>738</v>
      </c>
      <c r="P25" s="876">
        <f t="shared" si="6"/>
        <v>1.010958904109589</v>
      </c>
      <c r="R25" s="880">
        <v>45149</v>
      </c>
      <c r="S25" s="874">
        <v>200</v>
      </c>
      <c r="T25" s="876">
        <f t="shared" si="7"/>
        <v>18.630136986301373</v>
      </c>
      <c r="V25" s="879">
        <v>45180</v>
      </c>
      <c r="W25" s="910"/>
      <c r="X25" s="876">
        <f t="shared" si="8"/>
        <v>0</v>
      </c>
    </row>
    <row r="26" spans="2:24">
      <c r="B26" s="879">
        <v>45070</v>
      </c>
      <c r="C26" s="830">
        <v>550</v>
      </c>
      <c r="D26" s="831">
        <f t="shared" si="9"/>
        <v>0.75342465753424659</v>
      </c>
      <c r="F26" s="879">
        <v>45101</v>
      </c>
      <c r="G26" s="830">
        <v>585</v>
      </c>
      <c r="H26" s="831">
        <f t="shared" si="10"/>
        <v>0.80136986301369861</v>
      </c>
      <c r="J26" s="879">
        <v>45131</v>
      </c>
      <c r="K26" s="841">
        <v>735</v>
      </c>
      <c r="L26" s="831">
        <f t="shared" si="11"/>
        <v>1.0068493150684932</v>
      </c>
      <c r="N26" s="879">
        <v>45162</v>
      </c>
      <c r="O26" s="875">
        <v>738</v>
      </c>
      <c r="P26" s="831">
        <f t="shared" si="6"/>
        <v>1.010958904109589</v>
      </c>
      <c r="R26" s="879">
        <v>45148</v>
      </c>
      <c r="S26">
        <v>49</v>
      </c>
      <c r="T26" s="831">
        <f t="shared" si="7"/>
        <v>4.5643835616438366</v>
      </c>
      <c r="V26" s="879">
        <v>45179</v>
      </c>
      <c r="X26" s="831">
        <f t="shared" si="8"/>
        <v>0</v>
      </c>
    </row>
    <row r="27" spans="2:24">
      <c r="B27" s="879">
        <v>45071</v>
      </c>
      <c r="C27" s="830">
        <v>550</v>
      </c>
      <c r="D27" s="831">
        <f t="shared" si="9"/>
        <v>0.75342465753424659</v>
      </c>
      <c r="F27" s="879">
        <v>45102</v>
      </c>
      <c r="G27" s="830">
        <v>585</v>
      </c>
      <c r="H27" s="831">
        <f t="shared" si="10"/>
        <v>0.80136986301369861</v>
      </c>
      <c r="J27" s="879">
        <v>45132</v>
      </c>
      <c r="K27" s="842">
        <v>740</v>
      </c>
      <c r="L27" s="831">
        <f t="shared" si="11"/>
        <v>1.0136986301369864</v>
      </c>
      <c r="N27" s="879">
        <v>45163</v>
      </c>
      <c r="O27" s="877">
        <v>748</v>
      </c>
      <c r="P27" s="831">
        <f t="shared" si="6"/>
        <v>1.0246575342465754</v>
      </c>
      <c r="R27" s="879">
        <v>45147</v>
      </c>
      <c r="S27">
        <v>200</v>
      </c>
      <c r="T27" s="831">
        <f t="shared" si="7"/>
        <v>18.630136986301373</v>
      </c>
      <c r="V27" s="879">
        <v>45178</v>
      </c>
      <c r="X27" s="831">
        <f t="shared" si="8"/>
        <v>0</v>
      </c>
    </row>
    <row r="28" spans="2:24">
      <c r="B28" s="879">
        <v>45072</v>
      </c>
      <c r="C28" s="830">
        <v>550</v>
      </c>
      <c r="D28" s="831">
        <f t="shared" si="9"/>
        <v>0.75342465753424659</v>
      </c>
      <c r="F28" s="879">
        <v>45103</v>
      </c>
      <c r="G28" s="830">
        <v>585</v>
      </c>
      <c r="H28" s="831">
        <f t="shared" si="10"/>
        <v>0.80136986301369861</v>
      </c>
      <c r="J28" s="879">
        <v>45133</v>
      </c>
      <c r="K28" s="864">
        <v>740</v>
      </c>
      <c r="L28" s="831">
        <f t="shared" si="11"/>
        <v>1.0136986301369864</v>
      </c>
      <c r="N28" s="879">
        <v>45164</v>
      </c>
      <c r="O28" s="881">
        <v>749</v>
      </c>
      <c r="P28" s="831">
        <f t="shared" si="6"/>
        <v>1.026027397260274</v>
      </c>
      <c r="R28" s="879">
        <v>45146</v>
      </c>
      <c r="S28">
        <v>200</v>
      </c>
      <c r="T28" s="831">
        <f t="shared" si="7"/>
        <v>18.630136986301373</v>
      </c>
      <c r="V28" s="879">
        <v>45177</v>
      </c>
      <c r="X28" s="831">
        <f t="shared" si="8"/>
        <v>0</v>
      </c>
    </row>
    <row r="29" spans="2:24">
      <c r="B29" s="879">
        <v>45073</v>
      </c>
      <c r="C29" s="830">
        <v>550</v>
      </c>
      <c r="D29" s="831">
        <f t="shared" si="9"/>
        <v>0.75342465753424659</v>
      </c>
      <c r="F29" s="879">
        <v>45104</v>
      </c>
      <c r="G29" s="830">
        <v>585</v>
      </c>
      <c r="H29" s="831">
        <f t="shared" si="10"/>
        <v>0.80136986301369861</v>
      </c>
      <c r="J29" s="879">
        <v>45134</v>
      </c>
      <c r="K29" s="864">
        <v>740</v>
      </c>
      <c r="L29" s="831">
        <f t="shared" si="11"/>
        <v>1.0136986301369864</v>
      </c>
      <c r="N29" s="879">
        <v>45165</v>
      </c>
      <c r="O29" s="883">
        <v>749</v>
      </c>
      <c r="P29" s="831">
        <f t="shared" si="6"/>
        <v>1.026027397260274</v>
      </c>
      <c r="R29" s="879">
        <v>45145</v>
      </c>
      <c r="S29">
        <v>0</v>
      </c>
      <c r="T29" s="831">
        <f t="shared" si="7"/>
        <v>0</v>
      </c>
      <c r="V29" s="879">
        <v>45176</v>
      </c>
      <c r="X29" s="831">
        <f t="shared" si="8"/>
        <v>0</v>
      </c>
    </row>
    <row r="30" spans="2:24">
      <c r="B30" s="879">
        <v>45074</v>
      </c>
      <c r="C30" s="830">
        <v>550</v>
      </c>
      <c r="D30" s="831">
        <f t="shared" si="9"/>
        <v>0.75342465753424659</v>
      </c>
      <c r="F30" s="879">
        <v>45105</v>
      </c>
      <c r="G30" s="830">
        <v>600</v>
      </c>
      <c r="H30" s="831">
        <f t="shared" si="10"/>
        <v>0.82191780821917804</v>
      </c>
      <c r="J30" s="879">
        <v>45135</v>
      </c>
      <c r="K30" s="864">
        <v>740</v>
      </c>
      <c r="L30" s="831">
        <f t="shared" si="11"/>
        <v>1.0136986301369864</v>
      </c>
      <c r="N30" s="879">
        <v>45166</v>
      </c>
      <c r="O30" s="767">
        <v>740</v>
      </c>
      <c r="P30" s="831">
        <f t="shared" si="6"/>
        <v>1.0136986301369864</v>
      </c>
      <c r="R30" s="879">
        <v>45144</v>
      </c>
      <c r="S30">
        <v>200</v>
      </c>
      <c r="T30" s="831">
        <f t="shared" si="7"/>
        <v>18.630136986301373</v>
      </c>
      <c r="V30" s="879">
        <v>45175</v>
      </c>
      <c r="W30" s="909">
        <v>360</v>
      </c>
      <c r="X30" s="831">
        <f t="shared" si="8"/>
        <v>33.534246575342465</v>
      </c>
    </row>
    <row r="31" spans="2:24">
      <c r="B31" s="879">
        <v>45075</v>
      </c>
      <c r="C31" s="767">
        <v>550</v>
      </c>
      <c r="D31" s="831">
        <f t="shared" si="9"/>
        <v>0.75342465753424659</v>
      </c>
      <c r="F31" s="879">
        <v>45106</v>
      </c>
      <c r="G31" s="830">
        <v>600</v>
      </c>
      <c r="H31" s="831">
        <f t="shared" si="10"/>
        <v>0.82191780821917804</v>
      </c>
      <c r="J31" s="879">
        <v>45136</v>
      </c>
      <c r="K31" s="830">
        <v>750</v>
      </c>
      <c r="L31" s="831">
        <f t="shared" si="11"/>
        <v>1.0273972602739727</v>
      </c>
      <c r="N31" s="879">
        <v>45167</v>
      </c>
      <c r="O31" s="767">
        <v>604</v>
      </c>
      <c r="P31" s="831">
        <f t="shared" si="6"/>
        <v>0.82739726027397265</v>
      </c>
      <c r="R31" s="879">
        <v>45143</v>
      </c>
      <c r="S31">
        <v>85</v>
      </c>
      <c r="T31" s="831">
        <f t="shared" si="7"/>
        <v>7.9178082191780819</v>
      </c>
      <c r="V31" s="879">
        <v>45174</v>
      </c>
      <c r="W31" s="909">
        <v>360</v>
      </c>
      <c r="X31" s="831">
        <f t="shared" si="8"/>
        <v>33.534246575342465</v>
      </c>
    </row>
    <row r="32" spans="2:24">
      <c r="B32" s="879">
        <v>45076</v>
      </c>
      <c r="C32" s="767">
        <v>585</v>
      </c>
      <c r="D32" s="831">
        <f t="shared" si="9"/>
        <v>0.80136986301369861</v>
      </c>
      <c r="F32" s="879">
        <v>45107</v>
      </c>
      <c r="G32" s="830">
        <v>600</v>
      </c>
      <c r="H32" s="831">
        <f t="shared" si="10"/>
        <v>0.82191780821917804</v>
      </c>
      <c r="J32" s="879">
        <v>45137</v>
      </c>
      <c r="K32" s="830">
        <v>750</v>
      </c>
      <c r="L32" s="831">
        <f t="shared" si="11"/>
        <v>1.0273972602739727</v>
      </c>
      <c r="N32" s="879">
        <v>45168</v>
      </c>
      <c r="O32" s="767">
        <v>471</v>
      </c>
      <c r="P32" s="831">
        <f t="shared" si="6"/>
        <v>0.64520547945205475</v>
      </c>
      <c r="R32" s="879">
        <v>45142</v>
      </c>
      <c r="S32" t="s">
        <v>2980</v>
      </c>
      <c r="T32" s="887" t="s">
        <v>2980</v>
      </c>
      <c r="V32" s="879">
        <v>45173</v>
      </c>
      <c r="W32" s="909">
        <v>360</v>
      </c>
      <c r="X32" s="831">
        <f t="shared" si="8"/>
        <v>33.534246575342465</v>
      </c>
    </row>
    <row r="33" spans="1:24">
      <c r="B33" s="879">
        <v>45077</v>
      </c>
      <c r="C33" s="767">
        <v>585</v>
      </c>
      <c r="D33" s="831">
        <f t="shared" ref="D33" si="12">C33*1000*0.05/100/365</f>
        <v>0.80136986301369861</v>
      </c>
      <c r="J33" s="879">
        <v>45138</v>
      </c>
      <c r="K33" s="830">
        <v>750</v>
      </c>
      <c r="L33" s="831">
        <f t="shared" ref="L33" si="13">K33*1000*0.05/100/365</f>
        <v>1.0273972602739727</v>
      </c>
      <c r="N33" s="879">
        <v>45169</v>
      </c>
      <c r="O33" s="767">
        <v>480</v>
      </c>
      <c r="P33" s="831">
        <f t="shared" si="6"/>
        <v>0.65753424657534243</v>
      </c>
      <c r="R33" s="879">
        <v>45141</v>
      </c>
      <c r="S33" s="872" t="s">
        <v>2980</v>
      </c>
      <c r="T33" s="887" t="s">
        <v>2980</v>
      </c>
      <c r="V33" s="879">
        <v>45172</v>
      </c>
      <c r="W33" s="909">
        <v>360</v>
      </c>
      <c r="X33" s="831">
        <f t="shared" si="8"/>
        <v>33.534246575342465</v>
      </c>
    </row>
    <row r="34" spans="1:24">
      <c r="R34" s="879">
        <v>45140</v>
      </c>
      <c r="S34" s="872" t="s">
        <v>2980</v>
      </c>
      <c r="T34" s="887" t="s">
        <v>2980</v>
      </c>
      <c r="V34" s="879">
        <v>45171</v>
      </c>
      <c r="W34" s="909">
        <v>360</v>
      </c>
      <c r="X34" s="831">
        <f t="shared" si="8"/>
        <v>33.534246575342465</v>
      </c>
    </row>
    <row r="35" spans="1:24">
      <c r="B35" s="879" t="s">
        <v>2895</v>
      </c>
      <c r="D35" s="407">
        <f>SUM(D3:D33)*88</f>
        <v>1895.7128767123286</v>
      </c>
      <c r="F35" s="879" t="s">
        <v>2895</v>
      </c>
      <c r="H35" s="407">
        <f>SUM(H3:H33)*88</f>
        <v>2121.0410958904108</v>
      </c>
      <c r="J35" s="879" t="s">
        <v>2895</v>
      </c>
      <c r="L35" s="407">
        <f>SUM(L3:L33)*88</f>
        <v>2597.8082191780818</v>
      </c>
      <c r="N35" s="879" t="s">
        <v>2895</v>
      </c>
      <c r="P35" s="407">
        <f>SUM(P3:P33)*88</f>
        <v>2650.7287671232875</v>
      </c>
      <c r="R35" s="879">
        <v>45139</v>
      </c>
      <c r="S35" s="872" t="s">
        <v>2980</v>
      </c>
      <c r="T35" s="887" t="s">
        <v>2980</v>
      </c>
      <c r="V35" s="879">
        <v>45170</v>
      </c>
      <c r="W35" s="909">
        <v>151</v>
      </c>
      <c r="X35" s="831">
        <f t="shared" si="8"/>
        <v>14.065753424657535</v>
      </c>
    </row>
    <row r="36" spans="1:24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2895</v>
      </c>
      <c r="T36" s="407">
        <f>SUM(T5:T35)</f>
        <v>381.32164383561644</v>
      </c>
      <c r="V36" s="879" t="s">
        <v>2895</v>
      </c>
      <c r="X36" s="407">
        <f>SUM(X5:X35)</f>
        <v>181.73698630136988</v>
      </c>
    </row>
    <row r="37" spans="1:24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 t="s">
        <v>3028</v>
      </c>
      <c r="T37" s="872">
        <v>386</v>
      </c>
      <c r="V37" s="879" t="s">
        <v>3028</v>
      </c>
      <c r="W37" s="909"/>
      <c r="X37" s="909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2023-09-14T11:46:42Z</dcterms:modified>
</cp:coreProperties>
</file>