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CEEB015D-AE90-4AAB-8F8C-7D4A867B1B1A}" xr6:coauthVersionLast="47" xr6:coauthVersionMax="47" xr10:uidLastSave="{00000000-0000-0000-0000-000000000000}"/>
  <bookViews>
    <workbookView xWindow="0" yWindow="-21600" windowWidth="17310" windowHeight="2115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E2" i="32" l="1"/>
  <c r="NI19" i="32"/>
  <c r="NI2" i="32" s="1"/>
  <c r="NG35" i="32"/>
  <c r="NG20" i="32"/>
  <c r="NG15" i="32"/>
  <c r="NI33" i="32"/>
  <c r="NG12" i="32" l="1"/>
  <c r="NE16" i="32" l="1"/>
  <c r="NG37" i="32" l="1"/>
  <c r="NE32" i="32"/>
  <c r="NE33" i="32"/>
  <c r="NE34" i="32"/>
  <c r="NE37" i="32"/>
  <c r="NE38" i="32"/>
  <c r="NG5" i="32" l="1"/>
  <c r="NE36" i="32"/>
  <c r="NE35" i="32"/>
  <c r="NA33" i="32"/>
  <c r="NA13" i="32" l="1"/>
  <c r="NA12" i="32"/>
  <c r="NA14" i="32"/>
  <c r="NA34" i="32"/>
  <c r="NA28" i="32"/>
  <c r="NA32" i="32"/>
  <c r="NA22" i="32"/>
  <c r="NA23" i="32"/>
  <c r="MY23" i="32"/>
  <c r="MY35" i="32" l="1"/>
  <c r="MS38" i="32"/>
  <c r="MY10" i="32"/>
  <c r="MY14" i="32"/>
  <c r="MY15" i="32"/>
  <c r="NA25" i="32" l="1"/>
  <c r="MY33" i="32" l="1"/>
  <c r="NC21" i="32"/>
  <c r="NC2" i="32" s="1"/>
  <c r="NG2" i="32" s="1"/>
  <c r="MY16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Y32" i="32"/>
  <c r="MU20" i="32"/>
  <c r="MU22" i="32"/>
  <c r="MU25" i="32" l="1"/>
  <c r="MW10" i="32" l="1"/>
  <c r="MU9" i="32"/>
  <c r="MS34" i="32" s="1"/>
  <c r="MW22" i="32"/>
  <c r="MU18" i="32"/>
  <c r="AJ36" i="44" l="1"/>
  <c r="AF36" i="44"/>
  <c r="AF5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4" i="44"/>
  <c r="AJ3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4" i="44"/>
  <c r="AJ35" i="44" l="1"/>
  <c r="AJ37" i="44" s="1"/>
  <c r="AF35" i="44"/>
  <c r="AF37" i="44" s="1"/>
  <c r="MS16" i="32" l="1"/>
  <c r="MS40" i="32"/>
  <c r="MS22" i="32" l="1"/>
  <c r="MU34" i="32" l="1"/>
  <c r="MS37" i="32" s="1"/>
  <c r="MS18" i="32" l="1"/>
  <c r="MS2" i="32" s="1"/>
  <c r="MS36" i="32"/>
  <c r="MO40" i="32"/>
  <c r="MU42" i="32"/>
  <c r="MW3" i="32"/>
  <c r="MS39" i="32"/>
  <c r="MW2" i="32"/>
  <c r="NA2" i="32" s="1"/>
  <c r="MS33" i="32"/>
  <c r="NA4" i="32" l="1"/>
  <c r="NA3" i="32"/>
  <c r="MU5" i="32"/>
  <c r="MO17" i="32"/>
  <c r="MO20" i="32" l="1"/>
  <c r="MO21" i="32"/>
  <c r="MO19" i="32"/>
  <c r="MO29" i="32" l="1"/>
  <c r="MO32" i="32"/>
  <c r="MO23" i="32"/>
  <c r="MM16" i="32"/>
  <c r="B6" i="43" l="1"/>
  <c r="G6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3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2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7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5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23" i="43" l="1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5" i="44"/>
  <c r="L37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DU2" i="28" l="1"/>
  <c r="DU3" i="28" s="1"/>
  <c r="DU4" i="28" s="1"/>
  <c r="S3" i="2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<sst xmlns="http://schemas.openxmlformats.org/spreadsheetml/2006/main" count="8668" uniqueCount="3571">
  <si>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</si>
  <si>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</si>
  <si>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</si>
  <si>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</si>
  <si>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</si>
  <si>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</si>
  <si>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</si>
  <si>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</si>
  <si>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</si>
  <si>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</si>
  <si>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</si>
  <si>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</si>
  <si>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</si>
  <si>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</si>
  <si>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</si>
  <si>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</si>
  <si>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</si>
  <si>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</si>
  <si>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</si>
  <si>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</si>
  <si>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</si>
  <si>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</si>
  <si>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</si>
  <si>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</si>
  <si>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</si>
  <si>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</si>
  <si>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</si>
  <si>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</si>
  <si>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</si>
  <si>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</si>
  <si>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</si>
  <si>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</si>
  <si>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</si>
  <si>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</si>
  <si>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</si>
  <si>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</si>
  <si>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</si>
  <si>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</si>
  <si>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</si>
  <si>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</si>
  <si>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</si>
  <si>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</si>
  <si>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</si>
  <si>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</si>
  <si>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</si>
  <si>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</si>
  <si>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</si>
  <si>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</si>
  <si>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</si>
  <si>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</si>
  <si>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</si>
  <si>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</si>
  <si>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</si>
  <si>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</si>
  <si>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</si>
  <si>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</si>
  <si>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</si>
  <si>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</si>
  <si>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</si>
  <si>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</si>
  <si>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</si>
  <si>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</si>
  <si>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</si>
  <si>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</si>
  <si>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</si>
  <si>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</si>
  <si>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</si>
  <si>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</si>
  <si>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</si>
  <si>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</si>
  <si>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</si>
  <si>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</si>
  <si>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</si>
  <si>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</si>
  <si>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</si>
  <si>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</si>
  <si>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</si>
  <si>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</si>
  <si>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</si>
  <si>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</si>
  <si>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</si>
  <si>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</si>
  <si>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</si>
  <si>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</si>
  <si>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</si>
  <si>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</si>
  <si>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</si>
  <si>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</si>
  <si>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</si>
  <si>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</si>
  <si>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</si>
  <si>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</si>
  <si>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</si>
  <si>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</si>
  <si>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</si>
  <si>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</si>
  <si>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</si>
  <si>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</si>
  <si>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</si>
  <si>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</si>
  <si>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</si>
  <si>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</si>
  <si>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</si>
  <si>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</si>
  <si>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</si>
  <si>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</si>
  <si>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</si>
  <si>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</si>
  <si>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</si>
  <si>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</si>
  <si>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</si>
  <si>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</si>
  <si>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</si>
  <si>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</si>
  <si>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</si>
  <si>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</si>
  <si>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</si>
  <si>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</si>
  <si>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</si>
  <si>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</si>
  <si>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</si>
  <si>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</si>
  <si>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</si>
  <si>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</si>
  <si>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</si>
  <si>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</si>
  <si>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</si>
  <si>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</si>
  <si>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</si>
  <si>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</si>
  <si>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</si>
  <si>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</si>
  <si>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</si>
  <si>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</si>
  <si>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</si>
  <si>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</si>
  <si>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</si>
  <si>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</si>
  <si>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</si>
  <si>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</si>
  <si>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</si>
  <si>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</si>
  <si>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</si>
  <si>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</si>
  <si>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</si>
  <si>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</si>
  <si>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</si>
  <si>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</si>
  <si>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</si>
  <si>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</si>
  <si>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</si>
  <si>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</si>
  <si>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</si>
  <si>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</si>
  <si>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</si>
  <si>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</si>
  <si>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</si>
  <si>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</si>
  <si>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</si>
  <si>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</si>
  <si>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</si>
  <si>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</si>
  <si>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</si>
  <si>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</si>
  <si>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</si>
  <si>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</si>
  <si>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</si>
  <si>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</si>
  <si>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</si>
  <si>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</si>
  <si>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</si>
  <si>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</si>
  <si>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</si>
  <si>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</si>
  <si>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</si>
  <si>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</si>
  <si>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</si>
  <si>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</si>
  <si>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</si>
  <si>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</si>
  <si>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</si>
  <si>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</si>
  <si>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</si>
  <si>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</si>
  <si>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</si>
  <si>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</si>
  <si>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</si>
  <si>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</si>
  <si>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</si>
  <si>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</si>
  <si>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</si>
  <si>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</si>
  <si>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</si>
  <si>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</si>
  <si>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</si>
  <si>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</si>
  <si>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</si>
  <si>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</si>
  <si>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</si>
  <si>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</si>
  <si>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</si>
  <si>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</si>
  <si>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</si>
  <si>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</si>
  <si>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</si>
  <si>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</si>
  <si>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</si>
  <si>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</si>
  <si>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</si>
  <si>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</si>
  <si>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</si>
  <si>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</si>
  <si>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</si>
  <si>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</si>
  <si>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</si>
  <si>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</si>
  <si>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</si>
  <si>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</si>
  <si>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</si>
  <si>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</si>
  <si>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</si>
  <si>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</si>
  <si>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</si>
  <si>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</si>
  <si>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</si>
  <si>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</si>
  <si>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</si>
  <si>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</si>
  <si>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</si>
  <si>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</si>
  <si>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</si>
  <si>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</si>
  <si>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</si>
  <si>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</si>
  <si>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</si>
  <si>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</si>
  <si>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</si>
  <si>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</si>
  <si>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</si>
  <si>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</si>
  <si>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</si>
  <si>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</si>
  <si>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</si>
  <si>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</si>
  <si>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</si>
  <si>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</si>
  <si>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</si>
  <si>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</si>
  <si>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</si>
  <si>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</si>
  <si>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</si>
  <si>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</si>
  <si>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</si>
  <si>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</si>
  <si>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</si>
  <si>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</si>
  <si>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</si>
  <si>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</si>
  <si>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</si>
  <si>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</si>
  <si>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</si>
  <si>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</si>
  <si>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</si>
  <si>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</si>
  <si>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</si>
  <si>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</si>
  <si>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</si>
  <si>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</si>
  <si>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</si>
  <si>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</si>
  <si>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</si>
  <si>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</si>
  <si>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</si>
  <si>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</si>
  <si>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</si>
  <si>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</si>
  <si>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</si>
  <si>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</si>
  <si>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</si>
  <si>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</si>
  <si>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</si>
  <si>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</si>
  <si>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</si>
  <si>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</si>
  <si>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</si>
  <si>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</si>
  <si>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</si>
  <si>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</si>
  <si>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</si>
  <si>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</si>
  <si>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</si>
  <si>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</si>
  <si>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</si>
  <si>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</si>
  <si>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</si>
  <si>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</si>
  <si>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</si>
  <si>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</si>
  <si>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</si>
  <si>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</si>
  <si>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</si>
  <si>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</si>
  <si>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</si>
  <si>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</si>
  <si>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</si>
  <si>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</si>
  <si>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</si>
  <si>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</si>
  <si>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</si>
  <si>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</si>
  <si>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</si>
  <si>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</si>
  <si>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</si>
  <si>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</si>
  <si>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</si>
  <si>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</si>
  <si>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</si>
  <si>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</si>
  <si>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</si>
  <si>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</si>
  <si>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</si>
  <si>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</si>
  <si>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</si>
  <si>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</si>
  <si>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</si>
  <si>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</si>
  <si>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</si>
  <si>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</si>
  <si>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</si>
  <si>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</si>
  <si>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</si>
  <si>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</si>
  <si>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</si>
  <si>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</si>
  <si>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</si>
  <si>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</si>
  <si>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</si>
  <si>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</si>
  <si>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</si>
  <si>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</si>
  <si>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</si>
  <si>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</si>
  <si>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</si>
  <si>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</si>
  <si>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</si>
  <si>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</si>
  <si>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</si>
  <si>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</si>
  <si>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</si>
  <si>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</si>
  <si>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</si>
  <si>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</si>
  <si>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</si>
  <si>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</si>
  <si>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</si>
  <si>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</si>
  <si>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</si>
  <si>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</si>
  <si>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</si>
  <si>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</si>
  <si>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</si>
  <si>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</si>
  <si>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</si>
  <si>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</si>
  <si>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</si>
  <si>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</si>
  <si>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</si>
  <si>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</si>
  <si>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</si>
  <si>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</si>
  <si>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</si>
  <si>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</si>
  <si>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</si>
  <si>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</si>
  <si>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</si>
  <si>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</si>
  <si>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</si>
  <si>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</si>
  <si>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</si>
  <si>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</si>
  <si>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</si>
  <si>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</si>
  <si>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</si>
  <si>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</si>
  <si>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</si>
  <si>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</si>
  <si>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</si>
  <si>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</si>
  <si>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</si>
  <si>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</si>
  <si>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</si>
  <si>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</si>
  <si>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</si>
  <si>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</si>
  <si>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</si>
  <si>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</si>
  <si>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</si>
  <si>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</si>
  <si>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</si>
  <si>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</si>
  <si>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</si>
  <si>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</si>
  <si>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</si>
  <si>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</si>
  <si>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</si>
  <si>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</si>
  <si>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</si>
  <si>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</si>
  <si>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</si>
  <si>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</si>
  <si>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</si>
  <si>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</si>
  <si>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</si>
  <si>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</si>
  <si>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</si>
  <si>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</si>
  <si>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</si>
  <si>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</si>
  <si>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</si>
  <si>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</si>
  <si>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</si>
  <si>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</si>
  <si>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</si>
  <si>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</si>
  <si>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</si>
  <si>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</si>
  <si>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</si>
  <si>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</si>
  <si>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</si>
  <si>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</si>
  <si>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</si>
  <si>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</si>
  <si>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</si>
  <si>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</si>
  <si>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</si>
  <si>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</si>
  <si>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</si>
  <si>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</si>
  <si>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</si>
  <si>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</si>
  <si>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</si>
  <si>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</si>
  <si>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</si>
  <si>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</si>
  <si>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</si>
  <si>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</si>
  <si>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</si>
  <si>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</si>
  <si>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</si>
  <si>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</si>
  <si>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</si>
  <si>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</si>
  <si>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</si>
  <si>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</si>
  <si>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</si>
  <si>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</si>
  <si>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</si>
  <si>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</si>
  <si>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</si>
  <si>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</si>
  <si>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</si>
  <si>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</si>
  <si>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</si>
  <si>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</si>
  <si>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</si>
  <si>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</si>
  <si>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</si>
  <si>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</si>
  <si>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</si>
  <si>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</si>
  <si>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</si>
  <si>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</si>
  <si>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</si>
  <si>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</si>
  <si>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</si>
  <si>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</si>
  <si>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</si>
  <si>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</si>
  <si>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</si>
  <si>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</si>
  <si>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</si>
  <si>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</si>
  <si>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</si>
  <si>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</si>
  <si>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</si>
  <si>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</si>
  <si>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</si>
  <si>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</si>
  <si>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</si>
  <si>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</si>
  <si>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</si>
  <si>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</si>
  <si>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</si>
  <si>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</si>
  <si>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</si>
  <si>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</si>
  <si>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</si>
  <si>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</si>
  <si>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</si>
  <si>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</si>
  <si>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</si>
  <si>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</si>
  <si>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</si>
  <si>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</si>
  <si>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</si>
  <si>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</si>
  <si>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</si>
  <si>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</si>
  <si>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</si>
  <si>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</si>
  <si>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</si>
  <si>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</si>
  <si>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</si>
  <si>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</si>
  <si>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</si>
  <si>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</si>
  <si>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</si>
  <si>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</si>
  <si>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</si>
  <si>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</si>
  <si>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</si>
  <si>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</si>
  <si>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</si>
  <si>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</si>
  <si>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</si>
  <si>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</si>
  <si>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</si>
  <si>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</si>
  <si>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</si>
  <si>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</si>
  <si>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</si>
  <si>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</si>
  <si>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</si>
  <si>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</si>
  <si>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</si>
  <si>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</si>
  <si>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</si>
  <si>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</si>
  <si>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</si>
  <si>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</si>
  <si>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</si>
  <si>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</si>
  <si>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</si>
  <si>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</si>
  <si>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</si>
  <si>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</si>
  <si>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</si>
  <si>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</si>
  <si>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</si>
  <si>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</si>
  <si>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</si>
  <si>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</si>
  <si>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</si>
  <si>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</si>
  <si>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</si>
  <si>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</si>
  <si>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</si>
  <si>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</si>
  <si>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</si>
  <si>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</si>
  <si>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</si>
  <si>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</si>
  <si>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</si>
  <si>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</si>
  <si>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</si>
  <si>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</si>
  <si>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</si>
  <si>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</si>
  <si>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</si>
  <si>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</si>
  <si>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</si>
  <si>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</si>
  <si>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</si>
  <si>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</si>
  <si>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</si>
  <si>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</si>
  <si>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</si>
  <si>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</si>
  <si>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</si>
  <si>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</si>
  <si>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</si>
  <si>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</si>
  <si>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</si>
  <si>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</si>
  <si>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</si>
  <si>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</si>
  <si>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</si>
  <si>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</si>
  <si>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</si>
  <si>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</si>
  <si>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</si>
  <si>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</si>
  <si>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</si>
  <si>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</si>
  <si>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</si>
  <si>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</si>
  <si>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</si>
  <si>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</si>
  <si>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</si>
  <si>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</si>
  <si>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</si>
  <si>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</si>
  <si>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</si>
  <si>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</si>
  <si>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</si>
  <si>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</si>
  <si>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</si>
  <si>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</si>
  <si>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</si>
  <si>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</si>
  <si>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</si>
  <si>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</si>
  <si>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</si>
  <si>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</si>
  <si>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</si>
  <si>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</si>
  <si>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</si>
  <si>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</si>
  <si>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</si>
  <si>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</si>
  <si>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</si>
  <si>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</si>
  <si>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</si>
  <si>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</si>
  <si>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</si>
  <si>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</si>
  <si>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</si>
  <si>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</si>
  <si>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</si>
  <si>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</si>
  <si>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</si>
  <si>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</si>
  <si>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</si>
  <si>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</si>
  <si>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</si>
  <si>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</si>
  <si>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</si>
  <si>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</si>
  <si>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</si>
  <si>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</si>
  <si>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</si>
  <si>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</si>
  <si>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</si>
  <si>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</si>
  <si>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</si>
  <si>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</si>
  <si>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</si>
  <si>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</si>
  <si>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</si>
  <si>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</si>
  <si>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</si>
  <si>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</si>
  <si>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</si>
  <si>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</si>
  <si>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</si>
  <si>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</si>
  <si>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</si>
  <si>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</si>
  <si>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</si>
  <si>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</si>
  <si>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</si>
  <si>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</si>
  <si>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</si>
  <si>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</si>
  <si>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</si>
  <si>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</si>
  <si>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</si>
  <si>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</si>
  <si>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</si>
  <si>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</si>
  <si>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</si>
  <si>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</si>
  <si>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</si>
  <si>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</si>
  <si>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</si>
  <si>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</si>
  <si>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</si>
  <si>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</si>
  <si>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</si>
  <si>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</si>
  <si>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</si>
  <si>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</si>
  <si>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</si>
  <si>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</si>
  <si>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</si>
  <si>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</si>
  <si>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</si>
  <si>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</si>
  <si>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</si>
  <si>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</si>
  <si>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</si>
  <si>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</si>
  <si>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</si>
  <si>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</si>
  <si>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</si>
  <si>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</si>
  <si>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</si>
  <si>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</si>
  <si>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</si>
  <si>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</si>
  <si>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</si>
  <si>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</si>
  <si>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</si>
  <si>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</si>
  <si>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</si>
  <si>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</si>
  <si>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</si>
  <si>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</si>
  <si>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</si>
  <si>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</si>
  <si>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</si>
  <si>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</si>
  <si>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</si>
  <si>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</si>
  <si>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</si>
  <si>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</si>
  <si>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</si>
  <si>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</si>
  <si>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</si>
  <si>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</si>
  <si>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</si>
  <si>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</si>
  <si>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</si>
  <si>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</si>
  <si>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</si>
  <si>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</si>
  <si>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</si>
  <si>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</si>
  <si>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</si>
  <si>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</si>
  <si>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</si>
  <si>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</si>
  <si>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</si>
  <si>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</si>
  <si>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</si>
  <si>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</si>
  <si>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</si>
  <si>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</si>
  <si>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</si>
  <si>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</si>
  <si>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</si>
  <si>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</si>
  <si>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</si>
  <si>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</si>
  <si>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</si>
  <si>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</si>
  <si>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</si>
  <si>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</si>
  <si>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</si>
  <si>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</si>
  <si>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</si>
  <si>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</si>
  <si>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</si>
  <si>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</si>
  <si>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</si>
  <si>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</si>
  <si>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</si>
  <si>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</si>
  <si>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</si>
  <si>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</si>
  <si>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</si>
  <si>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</si>
  <si>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</si>
  <si>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</si>
  <si>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</si>
  <si>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</si>
  <si>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</si>
  <si>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</si>
  <si>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</si>
  <si>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</si>
  <si>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</si>
  <si>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</si>
  <si>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</si>
  <si>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</si>
  <si>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</si>
  <si>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</si>
  <si>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</si>
  <si>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</si>
  <si>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</si>
  <si>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</si>
  <si>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</si>
  <si>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</si>
  <si>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</si>
  <si>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</si>
  <si>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</si>
  <si>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</si>
  <si>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</si>
  <si>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</si>
  <si>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</si>
  <si>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</si>
  <si>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</si>
  <si>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</si>
  <si>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</si>
  <si>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</si>
  <si>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</si>
  <si>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</si>
  <si>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</si>
  <si>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</si>
  <si>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</si>
  <si>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</si>
  <si>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</si>
  <si>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</si>
  <si>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</si>
  <si>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</si>
  <si>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</si>
  <si>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</si>
  <si>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</si>
  <si>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</si>
  <si>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</si>
  <si>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</si>
  <si>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</si>
  <si>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</si>
  <si>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</si>
  <si>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</si>
  <si>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</si>
  <si>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</si>
  <si>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</si>
  <si>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</si>
  <si>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</si>
  <si>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</si>
  <si>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</si>
  <si>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</si>
  <si>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</si>
  <si>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</si>
  <si>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</si>
  <si>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</si>
  <si>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</si>
  <si>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</si>
  <si>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</si>
  <si>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</si>
  <si>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</si>
  <si>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</si>
  <si>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</si>
  <si>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</si>
  <si>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</si>
  <si>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</si>
  <si>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</si>
  <si>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</si>
  <si>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</si>
  <si>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</si>
  <si>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</si>
  <si>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</si>
  <si>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</si>
  <si>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</si>
  <si>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</si>
  <si>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</si>
  <si>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</si>
  <si>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</si>
  <si>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</si>
  <si>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</si>
  <si>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</si>
  <si>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</si>
  <si>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</si>
  <si>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</si>
  <si>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</si>
  <si>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</si>
  <si>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</si>
  <si>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</si>
  <si>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</si>
  <si>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</si>
  <si>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</si>
  <si>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</si>
  <si>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</si>
  <si>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</si>
  <si>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</si>
  <si>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</si>
  <si>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</si>
  <si>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</si>
  <si>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</si>
  <si>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</si>
  <si>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</si>
  <si>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</si>
  <si>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</si>
  <si>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</si>
  <si>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</si>
  <si>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</si>
  <si>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</si>
  <si>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</si>
  <si>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</si>
  <si>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</si>
  <si>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</si>
  <si>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</si>
  <si>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</si>
  <si>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</si>
  <si>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</si>
  <si>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</si>
  <si>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</si>
  <si>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</si>
  <si>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</si>
  <si>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</si>
  <si>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</si>
  <si>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</si>
  <si>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</si>
  <si>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</si>
  <si>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</si>
  <si>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</si>
  <si>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</si>
  <si>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</si>
  <si>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</si>
  <si>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</si>
  <si>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</si>
  <si>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</si>
  <si>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</si>
  <si>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</si>
  <si>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</si>
  <si>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</si>
  <si>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</si>
  <si>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</si>
  <si>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</si>
  <si>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</si>
  <si>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</si>
  <si>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</si>
  <si>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</si>
  <si>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</si>
  <si>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</si>
  <si>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</si>
  <si>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</si>
  <si>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</si>
  <si>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</si>
  <si>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</si>
  <si>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</si>
  <si>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</si>
  <si>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</si>
  <si>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</si>
  <si>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</si>
  <si>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</si>
  <si>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</si>
  <si>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</si>
  <si>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</si>
  <si>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</si>
  <si>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</si>
  <si>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</si>
  <si>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</si>
  <si>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</si>
  <si>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</si>
  <si>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</si>
  <si>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</si>
  <si>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</si>
  <si>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</si>
  <si>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</si>
  <si>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</si>
  <si>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</si>
  <si>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</si>
  <si>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</si>
  <si>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</si>
  <si>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</si>
  <si>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</si>
  <si>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</si>
  <si>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</si>
  <si>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</si>
  <si>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</si>
  <si>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</si>
  <si>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</si>
  <si>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</si>
  <si>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</si>
  <si>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</si>
  <si>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</si>
  <si>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</si>
  <si>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</si>
  <si>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</si>
  <si>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</si>
  <si>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</si>
  <si>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</si>
  <si>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</si>
  <si>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</si>
  <si>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</si>
  <si>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</si>
  <si>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</si>
  <si>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</si>
  <si>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</si>
  <si>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</si>
  <si>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</si>
  <si>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</si>
  <si>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</si>
  <si>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</si>
  <si>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</si>
  <si>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</si>
  <si>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</si>
  <si>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</si>
  <si>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</si>
  <si>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</si>
  <si>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</si>
  <si>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</si>
  <si>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</si>
  <si>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</si>
  <si>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</si>
  <si>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</si>
  <si>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</si>
  <si>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</si>
  <si>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</si>
  <si>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</si>
  <si>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</si>
  <si>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</si>
  <si>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</si>
  <si>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</si>
  <si>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</si>
  <si>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</si>
  <si>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</si>
  <si>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</si>
  <si>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</si>
  <si>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</si>
  <si>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</si>
  <si>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</si>
  <si>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</si>
  <si>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</si>
  <si>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</si>
  <si>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</si>
  <si>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</si>
  <si>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</si>
  <si>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</si>
  <si>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</si>
  <si>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</si>
  <si>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</si>
  <si>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</si>
  <si>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</si>
  <si>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</si>
  <si>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</si>
  <si>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</si>
  <si>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</si>
  <si>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</si>
  <si>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</si>
  <si>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</si>
  <si>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</si>
  <si>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</si>
  <si>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</si>
  <si>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</si>
  <si>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</si>
  <si>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</si>
  <si>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</si>
  <si>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</si>
  <si>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</si>
  <si>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</si>
  <si>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</si>
  <si>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</si>
  <si>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</si>
  <si>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</si>
  <si>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</si>
  <si>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</si>
  <si>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</si>
  <si>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</si>
  <si>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</si>
  <si>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</si>
  <si>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</si>
  <si>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</si>
  <si>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</si>
  <si>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</si>
  <si>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</si>
  <si>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</si>
  <si>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</si>
  <si>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</si>
  <si>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</si>
  <si>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</si>
  <si>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</si>
  <si>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</si>
  <si>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</si>
  <si>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</si>
  <si>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</si>
  <si>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</si>
  <si>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</si>
  <si>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</si>
  <si>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</si>
  <si>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</si>
  <si>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</si>
  <si>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</si>
  <si>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</si>
  <si>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</si>
  <si>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</si>
  <si>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</si>
  <si>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</si>
  <si>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</si>
  <si>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</si>
  <si>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</si>
  <si>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</si>
  <si>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</si>
  <si>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</si>
  <si>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</si>
  <si>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</si>
  <si>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</si>
  <si>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</si>
  <si>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</si>
  <si>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</si>
  <si>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</si>
  <si>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</si>
  <si>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</si>
  <si>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</si>
  <si>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</si>
  <si>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</si>
  <si>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</si>
  <si>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</si>
  <si>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</si>
  <si>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</si>
  <si>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</si>
  <si>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</si>
  <si>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</si>
  <si>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</si>
  <si>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</si>
  <si>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</si>
  <si>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</si>
  <si>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</si>
  <si>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</si>
  <si>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</si>
  <si>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</si>
  <si>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</si>
  <si>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</si>
  <si>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</si>
  <si>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</si>
  <si>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</si>
  <si>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</si>
  <si>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</si>
  <si>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</si>
  <si>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</si>
  <si>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</si>
  <si>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</si>
  <si>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</si>
  <si>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</si>
  <si>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</si>
  <si>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</si>
  <si>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</si>
  <si>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</si>
  <si>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</si>
  <si>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</si>
  <si>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</si>
  <si>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</si>
  <si>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</si>
  <si>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</si>
  <si>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</si>
  <si>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</si>
  <si>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</si>
  <si>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</si>
  <si>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</si>
  <si>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</si>
  <si>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</si>
  <si>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</si>
  <si>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</si>
  <si>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</si>
  <si>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</si>
  <si>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</si>
  <si>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</si>
  <si>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</si>
  <si>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</si>
  <si>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</si>
  <si>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</si>
  <si>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</si>
  <si>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</si>
  <si>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</si>
  <si>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</si>
  <si>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</si>
  <si>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</si>
  <si>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</si>
  <si>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</si>
  <si>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</si>
  <si>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</si>
  <si>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</si>
  <si>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</si>
  <si>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</si>
  <si>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</si>
  <si>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</si>
  <si>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</si>
  <si>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</si>
  <si>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</si>
  <si>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</si>
  <si>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</si>
  <si>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</si>
  <si>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</si>
  <si>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</si>
  <si>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</si>
  <si>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</si>
  <si>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</si>
  <si>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</si>
  <si>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</si>
  <si>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</si>
  <si>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</si>
  <si>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</si>
  <si>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</si>
  <si>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</si>
  <si>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</si>
  <si>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</si>
  <si>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</si>
  <si>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</si>
  <si>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</si>
  <si>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</si>
  <si>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</si>
  <si>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</si>
  <si>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</si>
  <si>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</si>
  <si>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</si>
  <si>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</si>
  <si>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</si>
  <si>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</si>
  <si>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</si>
  <si>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</si>
  <si>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</si>
  <si>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</si>
  <si>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</si>
  <si>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</si>
  <si>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</si>
  <si>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</si>
  <si>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</si>
  <si>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</si>
  <si>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</si>
  <si>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</si>
  <si>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</si>
  <si>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</si>
  <si>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</si>
  <si>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</si>
  <si>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</si>
  <si>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</si>
  <si>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</si>
  <si>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</si>
  <si>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</si>
  <si>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</si>
  <si>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</si>
  <si>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</si>
  <si>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</si>
  <si>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</si>
  <si>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</si>
  <si>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</si>
  <si>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</si>
  <si>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</si>
  <si>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</si>
  <si>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</si>
  <si>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</si>
  <si>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</si>
  <si>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</si>
  <si>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</si>
  <si>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</si>
  <si>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</si>
  <si>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</si>
  <si>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</si>
  <si>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</si>
  <si>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</si>
  <si>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</si>
  <si>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</si>
  <si>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</si>
  <si>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</si>
  <si>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</si>
  <si>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</si>
  <si>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</si>
  <si>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</si>
  <si>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</si>
  <si>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</si>
  <si>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</si>
  <si>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</si>
  <si>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</si>
  <si>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</si>
  <si>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</si>
  <si>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</si>
  <si>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</si>
  <si>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</si>
  <si>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</si>
  <si>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</si>
  <si>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</si>
  <si>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</si>
  <si>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</si>
  <si>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</si>
  <si>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</si>
  <si>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</si>
  <si>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</si>
  <si>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</si>
  <si>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</si>
  <si>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</si>
  <si>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</si>
  <si>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</si>
  <si>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</si>
  <si>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</si>
  <si>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</si>
  <si>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</si>
  <si>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</si>
  <si>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</si>
  <si>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</si>
  <si>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</si>
  <si>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</si>
  <si>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</si>
  <si>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</si>
  <si>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</si>
  <si>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</si>
  <si>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</si>
  <si>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</si>
  <si>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</si>
  <si>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</si>
  <si>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</si>
  <si>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</si>
  <si>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</si>
  <si>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</si>
  <si>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</si>
  <si>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</si>
  <si>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</si>
  <si>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</si>
  <si>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</si>
  <si>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</si>
  <si>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</si>
  <si>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</si>
  <si>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</si>
  <si>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</si>
  <si>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</si>
  <si>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</si>
  <si>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</si>
  <si>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</si>
  <si>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</si>
  <si>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</si>
  <si>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</si>
  <si>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</si>
  <si>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</si>
  <si>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</si>
  <si>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</si>
  <si>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</si>
  <si>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</si>
  <si>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</si>
  <si>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</si>
  <si>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</si>
  <si>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</si>
  <si>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</si>
  <si>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</si>
  <si>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</si>
  <si>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</si>
  <si>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</si>
  <si>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</si>
  <si>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</si>
  <si>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</si>
  <si>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</si>
  <si>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</si>
  <si>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</si>
  <si>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</si>
  <si>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</si>
  <si>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</si>
  <si>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</si>
  <si>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</si>
  <si>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</si>
  <si>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</si>
  <si>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</si>
  <si>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</si>
  <si>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</si>
  <si>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</si>
  <si>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</si>
  <si>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</si>
  <si>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</si>
  <si>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</si>
  <si>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</si>
  <si>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</si>
  <si>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</si>
  <si>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</si>
  <si>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</si>
  <si>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</si>
  <si>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</si>
  <si>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</si>
  <si>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</si>
  <si>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</si>
  <si>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</si>
  <si>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</si>
  <si>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</si>
  <si>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</si>
  <si>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</si>
  <si>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</si>
  <si>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</si>
  <si>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</si>
  <si>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</si>
  <si>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</si>
  <si>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</si>
  <si>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</si>
  <si>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</si>
  <si>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</si>
  <si>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</si>
  <si>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</si>
  <si>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</si>
  <si>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</si>
  <si>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</si>
  <si>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</si>
  <si>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</si>
  <si>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</si>
  <si>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</si>
  <si>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</si>
  <si>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</si>
  <si>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</si>
  <si>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</si>
  <si>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</si>
  <si>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</si>
  <si>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</si>
  <si>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</si>
  <si>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</si>
  <si>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</si>
  <si>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</si>
  <si>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</si>
  <si>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</si>
  <si>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</si>
  <si>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</si>
  <si>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</si>
  <si>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</si>
  <si>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</si>
  <si>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</si>
  <si>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</si>
  <si>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</si>
  <si>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</si>
  <si>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</si>
  <si>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</si>
  <si>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</si>
  <si>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</si>
  <si>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</si>
  <si>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</si>
  <si>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</si>
  <si>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</si>
  <si>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</si>
  <si>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</si>
  <si>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</si>
  <si>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</si>
  <si>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</si>
  <si>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</si>
  <si>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</si>
  <si>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</si>
  <si>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</si>
  <si>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</si>
  <si>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</si>
  <si>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</si>
  <si>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</si>
  <si>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</si>
  <si>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</si>
  <si>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</si>
  <si>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</si>
  <si>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</si>
  <si>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</si>
  <si>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</si>
  <si>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</si>
  <si>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</si>
  <si>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</si>
  <si>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</si>
  <si>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</si>
  <si>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</si>
  <si>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</si>
  <si>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</si>
  <si>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</si>
  <si>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</si>
  <si>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</si>
  <si>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</si>
  <si>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</si>
  <si>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</si>
  <si>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</si>
  <si>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</si>
  <si>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</si>
  <si>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</si>
  <si>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</si>
  <si>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</si>
  <si>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</si>
  <si>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</si>
  <si>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</si>
  <si>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</si>
  <si>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</si>
  <si>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</si>
  <si>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</si>
  <si>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</si>
  <si>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</si>
  <si>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</si>
  <si>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</si>
  <si>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</si>
  <si>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</si>
  <si>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</si>
  <si>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</si>
  <si>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</si>
  <si>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</si>
  <si>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</si>
  <si>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</si>
  <si>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</si>
  <si>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</si>
  <si>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</si>
  <si>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</si>
  <si>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</si>
  <si>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</si>
  <si>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</si>
  <si>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</si>
  <si>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</si>
  <si>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</si>
  <si>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</si>
  <si>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</si>
  <si>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</si>
  <si>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</si>
  <si>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</si>
  <si>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</si>
  <si>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</si>
  <si>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</si>
  <si>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</si>
  <si>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</si>
  <si>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</si>
  <si>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</si>
  <si>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</si>
  <si>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</si>
  <si>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</si>
  <si>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</si>
  <si>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</si>
  <si>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</si>
  <si>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</si>
  <si>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</si>
  <si>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</si>
  <si>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</si>
  <si>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</si>
  <si>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</si>
  <si>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</si>
  <si>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</si>
  <si>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</si>
  <si>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</si>
  <si>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</si>
  <si>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</si>
  <si>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</si>
  <si>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</si>
  <si>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</si>
  <si>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</si>
  <si>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</si>
  <si>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</si>
  <si>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</si>
  <si>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</si>
  <si>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</si>
  <si>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</si>
  <si>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</si>
  <si>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</si>
  <si>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</si>
  <si>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</si>
  <si>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</si>
  <si>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</si>
  <si>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</si>
  <si>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</si>
  <si>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</si>
  <si>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</si>
  <si>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</si>
  <si>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</si>
  <si>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</si>
  <si>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</si>
  <si>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</si>
  <si>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</si>
  <si>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</si>
  <si>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</si>
  <si>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</si>
  <si>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</si>
  <si>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</si>
  <si>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</si>
  <si>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</si>
  <si>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</si>
  <si>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</si>
  <si>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</si>
  <si>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</si>
  <si>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</si>
  <si>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</si>
  <si>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</si>
  <si>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</si>
  <si>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</si>
  <si>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</si>
  <si>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</si>
  <si>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</si>
  <si>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</si>
  <si>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</si>
  <si>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</si>
  <si>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</si>
  <si>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</si>
  <si>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</si>
  <si>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</si>
  <si>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</si>
  <si>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</si>
  <si>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</si>
  <si>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</si>
  <si>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</si>
  <si>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</si>
  <si>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</si>
  <si>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</si>
  <si>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</si>
  <si>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</si>
  <si>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</si>
  <si>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</si>
  <si>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</si>
  <si>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</si>
  <si>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</si>
  <si>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</si>
  <si>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</si>
  <si>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</si>
  <si>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</si>
  <si>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</si>
  <si>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</si>
  <si>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</si>
  <si>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</si>
  <si>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</si>
  <si>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</si>
  <si>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</si>
  <si>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</si>
  <si>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</si>
  <si>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</si>
  <si>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</si>
  <si>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</si>
  <si>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</si>
  <si>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</si>
  <si>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</si>
  <si>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</si>
  <si>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</si>
  <si>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</si>
  <si>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</si>
  <si>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</si>
  <si>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</si>
  <si>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</si>
  <si>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</si>
  <si>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</si>
  <si>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</si>
  <si>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</si>
  <si>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</si>
  <si>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</si>
  <si>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</si>
  <si>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</si>
  <si>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</si>
  <si>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</si>
  <si>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</si>
  <si>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</si>
  <si>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</si>
  <si>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</si>
  <si>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</si>
  <si>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</si>
  <si>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</si>
  <si>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</si>
  <si>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</si>
  <si>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</si>
  <si>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</si>
  <si>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</si>
  <si>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</si>
  <si>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</si>
  <si>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</si>
  <si>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</si>
  <si>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</si>
  <si>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</si>
  <si>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</si>
  <si>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</si>
  <si>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</si>
  <si>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</si>
  <si>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</si>
  <si>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</si>
  <si>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</si>
  <si>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</si>
  <si>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</si>
  <si>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</si>
  <si>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</si>
  <si>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</si>
  <si>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</si>
  <si>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</si>
  <si>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</si>
  <si>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</si>
  <si>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</si>
  <si>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</si>
  <si>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</si>
  <si>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</si>
  <si>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</si>
  <si>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</si>
  <si>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</si>
  <si>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</si>
  <si>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</si>
  <si>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</si>
  <si>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</si>
  <si>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</si>
  <si>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</si>
  <si>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</si>
  <si>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</si>
  <si>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</si>
  <si>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</si>
  <si>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</si>
  <si>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</si>
  <si>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</si>
  <si>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</si>
  <si>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</si>
  <si>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</si>
  <si>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</si>
  <si>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</si>
  <si>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</si>
  <si>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</si>
  <si>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</si>
  <si>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</si>
  <si>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</si>
  <si>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</si>
  <si>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</si>
  <si>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</si>
  <si>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</si>
  <si>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</si>
  <si>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</si>
  <si>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</si>
  <si>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</si>
  <si>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</si>
  <si>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</si>
  <si>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</si>
  <si>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</si>
  <si>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</si>
  <si>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</si>
  <si>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</si>
  <si>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</si>
  <si>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</si>
  <si>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</si>
  <si>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</si>
  <si>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</si>
  <si>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</si>
  <si>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</si>
  <si>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</si>
  <si>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</si>
  <si>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</si>
  <si>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</si>
  <si>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</si>
  <si>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</si>
  <si>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</si>
  <si>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</si>
  <si>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</si>
  <si>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</si>
  <si>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</si>
  <si>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</si>
  <si>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</si>
  <si>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</si>
  <si>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</si>
  <si>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</si>
  <si>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</si>
  <si>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</si>
  <si>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</si>
  <si>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</si>
  <si>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</si>
  <si>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</si>
  <si>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</si>
  <si>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</si>
  <si>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</si>
  <si>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</si>
  <si>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</si>
  <si>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</si>
  <si>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</si>
  <si>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</si>
  <si>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</si>
  <si>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</si>
  <si>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</si>
  <si>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</si>
  <si>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</si>
  <si>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</si>
  <si>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</si>
  <si>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</si>
  <si>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</si>
  <si>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</si>
  <si>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</si>
  <si>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</si>
  <si>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</si>
  <si>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</si>
  <si>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</si>
  <si>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</si>
  <si>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</si>
  <si>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</si>
  <si>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</si>
  <si>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</si>
  <si>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</si>
  <si>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</si>
  <si>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</si>
  <si>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</si>
  <si>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</si>
  <si>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</si>
  <si>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</si>
  <si>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</si>
  <si>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</si>
  <si>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</si>
  <si>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</si>
  <si>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</si>
  <si>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</si>
  <si>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</si>
  <si>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</si>
  <si>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</si>
  <si>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</si>
  <si>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</si>
  <si>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</si>
  <si>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</si>
  <si>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</si>
  <si>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</si>
  <si>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</si>
  <si>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</si>
  <si>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</si>
  <si>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</si>
  <si>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</si>
  <si>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</si>
  <si>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</si>
  <si>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</si>
  <si>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</si>
  <si>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</si>
  <si>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</si>
  <si>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</si>
  <si>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</si>
  <si>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</si>
  <si>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</si>
  <si>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</si>
  <si>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</si>
  <si>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</si>
  <si>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</si>
  <si>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</si>
  <si>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</si>
  <si>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</si>
  <si>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</si>
  <si>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</si>
  <si>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</si>
  <si>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</si>
  <si>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</si>
  <si>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</si>
  <si>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</si>
  <si>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</si>
  <si>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</si>
  <si>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</si>
  <si>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</si>
  <si>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</si>
  <si>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</si>
  <si>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</si>
  <si>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</si>
  <si>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</si>
  <si>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</si>
  <si>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</si>
  <si>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</si>
  <si>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</si>
  <si>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</si>
  <si>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</si>
  <si>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</si>
  <si>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</si>
  <si>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</si>
  <si>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</si>
  <si>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</si>
  <si>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</si>
  <si>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</si>
  <si>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</si>
  <si>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</si>
  <si>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</si>
  <si>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</si>
  <si>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</si>
  <si>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</si>
  <si>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</si>
  <si>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</si>
  <si>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</si>
  <si>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</si>
  <si>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</si>
  <si>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</si>
  <si>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</si>
  <si>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</si>
  <si>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</si>
  <si>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</si>
  <si>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</si>
  <si>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</si>
  <si>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</si>
  <si>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</si>
  <si>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</si>
  <si>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</si>
  <si>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</si>
  <si>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</si>
  <si>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</si>
  <si>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</si>
  <si>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</si>
  <si>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</si>
  <si>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</si>
  <si>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</si>
  <si>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</si>
  <si>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</si>
  <si>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</si>
  <si>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</si>
  <si>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</si>
  <si>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</si>
  <si>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</si>
  <si>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</si>
  <si>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</si>
  <si>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</si>
  <si>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</si>
  <si>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</si>
  <si>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</si>
  <si>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</si>
  <si>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</si>
  <si>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</si>
  <si>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</si>
  <si>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</si>
  <si>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</si>
  <si>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</si>
  <si>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</si>
  <si>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</si>
  <si>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</si>
  <si>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</si>
  <si>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</si>
  <si>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</si>
  <si>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</si>
  <si>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</si>
  <si>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</si>
  <si>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</si>
  <si>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</si>
  <si>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</si>
  <si>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</si>
  <si>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</si>
  <si>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</si>
  <si>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</si>
  <si>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</si>
  <si>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</si>
  <si>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</si>
  <si>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</si>
  <si>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</si>
  <si>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</si>
  <si>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</si>
  <si>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</si>
  <si>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</si>
  <si>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</si>
  <si>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</si>
  <si>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</si>
  <si>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</si>
  <si>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</si>
  <si>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</si>
  <si>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</si>
  <si>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</si>
  <si>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</si>
  <si>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</si>
  <si>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</si>
  <si>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</si>
  <si>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</si>
  <si>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</si>
  <si>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</si>
  <si>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</si>
  <si>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</si>
  <si>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</si>
  <si>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</si>
  <si>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</si>
  <si>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</si>
  <si>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</si>
  <si>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</si>
  <si>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</si>
  <si>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</si>
  <si>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</si>
  <si>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</si>
  <si>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</si>
  <si>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</si>
  <si>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</si>
  <si>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</si>
  <si>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</si>
  <si>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</si>
  <si>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</si>
  <si>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</si>
  <si>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</si>
  <si>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</si>
  <si>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</si>
  <si>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</si>
  <si>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</si>
  <si>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</si>
  <si>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</si>
  <si>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</si>
  <si>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</si>
  <si>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</si>
  <si>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</si>
  <si>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</si>
  <si>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</si>
  <si>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</si>
  <si>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</si>
  <si>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</si>
  <si>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</si>
  <si>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</si>
  <si>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</si>
  <si>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</si>
  <si>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</si>
  <si>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</si>
  <si>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</si>
  <si>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</si>
  <si>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</si>
  <si>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</si>
  <si>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</si>
  <si>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</si>
  <si>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</si>
  <si>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</si>
  <si>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</si>
  <si>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</si>
  <si>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</si>
  <si>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</si>
  <si>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</si>
  <si>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</si>
  <si>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</si>
  <si>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</si>
  <si>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</si>
  <si>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</si>
  <si>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</si>
  <si>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</si>
  <si>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</si>
  <si>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</si>
  <si>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</si>
  <si>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</si>
  <si>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</si>
  <si>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</si>
  <si>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</si>
  <si>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</si>
  <si>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</si>
  <si>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</si>
  <si>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</si>
  <si>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</si>
  <si>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</si>
  <si>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</si>
  <si>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</si>
  <si>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</si>
  <si>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</si>
  <si>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</si>
  <si>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</si>
  <si>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</si>
  <si>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</si>
  <si>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</si>
  <si>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</si>
  <si>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</si>
  <si>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</si>
  <si>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</si>
  <si>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</si>
  <si>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</si>
  <si>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</si>
  <si>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</si>
  <si>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</si>
  <si>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</si>
  <si>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</si>
  <si>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</si>
  <si>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</si>
  <si>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</si>
  <si>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</si>
  <si>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</si>
  <si>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</si>
  <si>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</si>
  <si>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</si>
  <si>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</si>
  <si>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</si>
  <si>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</si>
  <si>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</si>
  <si>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</si>
  <si>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</si>
  <si>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</si>
  <si>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</si>
  <si>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</si>
  <si>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</si>
  <si>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</si>
  <si>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</si>
  <si>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</si>
  <si>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</si>
  <si>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</si>
  <si>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</si>
  <si>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</si>
  <si>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</si>
  <si>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</si>
  <si>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</si>
  <si>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</si>
  <si>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</si>
  <si>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</si>
  <si>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</si>
  <si>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</si>
  <si>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</si>
  <si>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</si>
  <si>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</si>
  <si>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</si>
  <si>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</si>
  <si>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</si>
  <si>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</si>
  <si>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</si>
  <si>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</si>
  <si>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</si>
  <si>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</si>
  <si>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</si>
  <si>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</si>
  <si>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</si>
  <si>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</si>
  <si>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</si>
  <si>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</si>
  <si>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</si>
  <si>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</si>
  <si>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</si>
  <si>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</si>
  <si>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</si>
  <si>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</si>
  <si>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</si>
  <si>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</si>
  <si>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</si>
  <si>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</si>
  <si>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</si>
  <si>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</si>
  <si>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</si>
  <si>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</si>
  <si>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</si>
  <si>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</si>
  <si>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</si>
  <si>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</si>
  <si>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</si>
  <si>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</si>
  <si>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</si>
  <si>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</si>
  <si>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</si>
  <si>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</si>
  <si>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</si>
  <si>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</si>
  <si>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</si>
  <si>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</si>
  <si>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</si>
  <si>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</si>
  <si>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</si>
  <si>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</si>
  <si>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</si>
  <si>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</si>
  <si>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</si>
  <si>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</si>
  <si>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</si>
  <si>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</si>
  <si>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</si>
  <si>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</si>
  <si>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</si>
  <si>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</si>
  <si>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</si>
  <si>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</si>
  <si>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</si>
  <si>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</si>
  <si>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</si>
  <si>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</si>
  <si>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</si>
  <si>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</si>
  <si>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</si>
  <si>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</si>
  <si>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</si>
  <si>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</si>
  <si>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</si>
  <si>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</si>
  <si>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</si>
  <si>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</si>
  <si>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</si>
  <si>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</si>
  <si>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</si>
  <si>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</si>
  <si>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</si>
  <si>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</si>
  <si>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</si>
  <si>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</si>
  <si>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</si>
  <si>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</si>
  <si>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</si>
  <si>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</si>
  <si>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</si>
  <si>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</si>
  <si>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</si>
  <si>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</si>
  <si>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</si>
  <si>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</si>
  <si>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</si>
  <si>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</si>
  <si>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</si>
  <si>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</si>
  <si>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</si>
  <si>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</si>
  <si>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</si>
  <si>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</si>
  <si>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</si>
  <si>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</si>
  <si>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</si>
  <si>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</si>
  <si>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</si>
  <si>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</si>
  <si>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</si>
  <si>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</si>
  <si>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</si>
  <si>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</si>
  <si>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</si>
  <si>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</si>
  <si>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</si>
  <si>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</si>
  <si>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</si>
  <si>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</si>
  <si>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</si>
  <si>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</si>
  <si>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</si>
  <si>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</si>
  <si>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</si>
  <si>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</si>
  <si>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</si>
  <si>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</si>
  <si>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</si>
  <si>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</si>
  <si>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</si>
  <si>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</si>
  <si>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</si>
  <si>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</si>
  <si>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</si>
  <si>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</si>
  <si>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</si>
  <si>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</si>
  <si>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</si>
  <si>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</si>
  <si>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</si>
  <si>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</si>
  <si>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</si>
  <si>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</si>
  <si>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</si>
  <si>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</si>
  <si>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</si>
  <si>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</si>
  <si>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</si>
  <si>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</si>
  <si>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</si>
  <si>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</si>
  <si>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</si>
  <si>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</si>
  <si>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</si>
  <si>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</si>
  <si>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</si>
  <si>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</si>
  <si>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</si>
  <si>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</si>
  <si>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</si>
  <si>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</si>
  <si>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</si>
  <si>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</si>
  <si>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</si>
  <si>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</si>
  <si>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</si>
  <si>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</si>
  <si>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</si>
  <si>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</si>
  <si>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</si>
  <si>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</si>
  <si>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</si>
  <si>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</si>
  <si>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</si>
  <si>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</si>
  <si>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</si>
  <si>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</si>
  <si>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</si>
  <si>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</si>
  <si>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</si>
  <si>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</si>
  <si>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</si>
  <si>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</si>
  <si>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</si>
  <si>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</si>
  <si>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</si>
  <si>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</si>
  <si>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</si>
  <si>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</si>
  <si>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</si>
  <si>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</si>
  <si>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</si>
  <si>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</si>
  <si>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</si>
  <si>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</si>
  <si>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</si>
  <si>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</si>
  <si>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</si>
  <si>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</si>
  <si>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</si>
  <si>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</si>
  <si>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</si>
  <si>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</si>
  <si>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</si>
  <si>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</si>
  <si>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</si>
  <si>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</si>
  <si>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</si>
  <si>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</si>
  <si>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</si>
  <si>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</si>
  <si>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</si>
  <si>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</si>
  <si>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</si>
  <si>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</si>
  <si>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</si>
  <si>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</si>
  <si>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</si>
  <si>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</si>
  <si>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</si>
  <si>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</si>
  <si>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</si>
  <si>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</si>
  <si>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</si>
  <si>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</si>
  <si>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</si>
  <si>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</si>
  <si>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</si>
  <si>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</si>
  <si>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</si>
  <si>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</si>
  <si>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</si>
  <si>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</si>
  <si>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</si>
  <si>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</si>
  <si>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</si>
  <si>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</si>
  <si>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</si>
  <si>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</si>
  <si>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</si>
  <si>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</si>
  <si>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</si>
  <si>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</si>
  <si>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</si>
  <si>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</si>
  <si>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</si>
  <si>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</si>
  <si>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</si>
  <si>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</si>
  <si>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</si>
  <si>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</si>
  <si>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</si>
  <si>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</si>
  <si>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</si>
  <si>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</si>
  <si>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</si>
  <si>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</si>
  <si>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</si>
  <si>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</si>
  <si>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</si>
  <si>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</si>
  <si>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</si>
  <si>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</si>
  <si>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</si>
  <si>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</si>
  <si>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</si>
  <si>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</si>
  <si>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</si>
  <si>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</si>
  <si>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</si>
  <si>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</si>
  <si>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</si>
  <si>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</si>
  <si>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</si>
  <si>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</si>
  <si>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</si>
  <si>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</si>
  <si>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</si>
  <si>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</si>
  <si>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</si>
  <si>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</si>
  <si>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</si>
  <si>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</si>
  <si>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</si>
  <si>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</si>
  <si>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</si>
  <si>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</si>
  <si>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</si>
  <si>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</si>
  <si>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</si>
  <si>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</si>
  <si>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</si>
  <si>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</si>
  <si>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</si>
  <si>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</si>
  <si>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</si>
  <si>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</si>
  <si>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</si>
  <si>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</si>
  <si>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</si>
  <si>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</si>
  <si>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</si>
  <si>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</si>
  <si>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</si>
  <si>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</si>
  <si>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</si>
  <si>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</si>
  <si>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</si>
  <si>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</si>
  <si>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</si>
  <si>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</si>
  <si>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</si>
  <si>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</si>
  <si>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</si>
  <si>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</si>
  <si>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</si>
  <si>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</si>
  <si>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</si>
  <si>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</si>
  <si>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</si>
  <si>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</si>
  <si>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</si>
  <si>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</si>
  <si>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</si>
  <si>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</si>
  <si>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</si>
  <si>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</si>
  <si>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</si>
  <si>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</si>
  <si>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</si>
  <si>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</si>
  <si>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</si>
  <si>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</si>
  <si>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</si>
  <si>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</si>
  <si>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</si>
  <si>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</si>
  <si>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</si>
  <si>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</si>
  <si>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</si>
  <si>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</si>
  <si>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</si>
  <si>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</si>
  <si>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</si>
  <si>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</si>
  <si>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</si>
  <si>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</si>
  <si>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</si>
  <si>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</si>
  <si>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</si>
  <si>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</si>
  <si>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</si>
  <si>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</si>
  <si>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</si>
  <si>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</si>
  <si>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</si>
  <si>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</si>
  <si>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</si>
  <si>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</si>
  <si>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</si>
  <si>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</si>
  <si>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</si>
  <si>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</si>
  <si>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</si>
  <si>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</si>
  <si>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</si>
  <si>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</si>
  <si>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</si>
  <si>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</si>
  <si>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</si>
  <si>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</si>
  <si>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</si>
  <si>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</si>
  <si>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</si>
  <si>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</si>
  <si>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</si>
  <si>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</si>
  <si>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</si>
  <si>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</si>
  <si>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</si>
  <si>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</si>
  <si>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</si>
  <si>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</si>
  <si>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</si>
  <si>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</si>
  <si>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</si>
  <si>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</si>
  <si>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</si>
  <si>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</si>
  <si>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</si>
  <si>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</si>
  <si>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</si>
  <si>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</si>
  <si>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</si>
  <si>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</si>
  <si>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</si>
  <si>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</si>
  <si>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</si>
  <si>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</si>
  <si>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</si>
  <si>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</si>
  <si>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</si>
  <si>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</si>
  <si>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</si>
  <si>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</si>
  <si>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</si>
  <si>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</si>
  <si>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</si>
  <si>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</si>
  <si>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</si>
  <si>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</si>
  <si>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</si>
  <si>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</si>
  <si>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</si>
  <si>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</si>
  <si>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</si>
  <si>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</si>
  <si>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</si>
  <si>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</si>
  <si>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</si>
  <si>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</si>
  <si>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</si>
  <si>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</si>
  <si>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</si>
  <si>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</si>
  <si>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</si>
  <si>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</si>
  <si>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</si>
  <si>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</si>
  <si>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</si>
  <si>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</si>
  <si>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</si>
  <si>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</si>
  <si>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</si>
  <si>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</si>
  <si>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</si>
  <si>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</si>
  <si>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</si>
  <si>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</si>
  <si>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</si>
  <si>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</si>
  <si>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</si>
  <si>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</si>
  <si>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</si>
  <si>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</si>
  <si>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</si>
  <si>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</si>
  <si>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</si>
  <si>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</si>
  <si>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</si>
  <si>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</si>
  <si>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</si>
  <si>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</si>
  <si>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</si>
  <si>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</si>
  <si>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</si>
  <si>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</si>
  <si>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</si>
  <si>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</si>
  <si>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</si>
  <si>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</si>
  <si>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</si>
  <si>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</si>
  <si>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</si>
  <si>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</si>
  <si>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</si>
  <si>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</si>
  <si>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</si>
  <si>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</si>
  <si>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</si>
  <si>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</si>
  <si>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</si>
  <si>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</si>
  <si>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</si>
  <si>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</si>
  <si>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</si>
  <si>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</si>
  <si>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</si>
  <si>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</si>
  <si>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</si>
  <si>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</si>
  <si>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</si>
  <si>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</si>
  <si>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</si>
  <si>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</si>
  <si>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</si>
  <si>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</si>
  <si>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</si>
  <si>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</si>
  <si>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</si>
  <si>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</si>
  <si>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</si>
  <si>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</si>
  <si>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</si>
  <si>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</si>
  <si>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</si>
  <si>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</si>
  <si>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</si>
  <si>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</si>
  <si>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</si>
  <si>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</si>
  <si>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</si>
  <si>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</si>
  <si>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</si>
  <si>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</si>
  <si>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</si>
  <si>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</si>
  <si>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</si>
  <si>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</si>
  <si>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</si>
  <si>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</si>
  <si>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</si>
  <si>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</si>
  <si>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</si>
  <si>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</si>
  <si>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</si>
  <si>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</si>
  <si>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</si>
  <si>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</si>
  <si>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</si>
  <si>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</si>
  <si>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</si>
  <si>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</si>
  <si>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</si>
  <si>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</si>
  <si>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</si>
  <si>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</si>
  <si>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</si>
  <si>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</si>
  <si>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</si>
  <si>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</si>
  <si>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</si>
  <si>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</si>
  <si>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</si>
  <si>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</si>
  <si>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</si>
  <si>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</si>
  <si>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</si>
  <si>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</si>
  <si>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</si>
  <si>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</si>
  <si>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</si>
  <si>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</si>
  <si>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</si>
  <si>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</si>
  <si>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</si>
  <si>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</si>
  <si>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</si>
  <si>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</si>
  <si>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</si>
  <si>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</si>
  <si>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</si>
  <si>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</si>
  <si>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</si>
  <si>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</si>
  <si>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</si>
  <si>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</si>
  <si>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</si>
  <si>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</si>
  <si>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</si>
  <si>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</si>
  <si>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</si>
  <si>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</si>
  <si>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</si>
  <si>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</si>
  <si>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</si>
  <si>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</si>
  <si>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</si>
  <si>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</si>
  <si>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</si>
  <si>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</si>
  <si>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</si>
  <si>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</si>
  <si>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</si>
  <si>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</si>
  <si>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</si>
  <si>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</si>
  <si>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</si>
  <si>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</si>
  <si>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</si>
  <si>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</si>
  <si>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</si>
  <si>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</si>
  <si>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</si>
  <si>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</si>
  <si>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</si>
  <si>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</si>
  <si>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</si>
  <si>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</si>
  <si>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</si>
  <si>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</si>
  <si>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</si>
  <si>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</si>
  <si>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</si>
  <si>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</si>
  <si>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</si>
  <si>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</si>
  <si>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</si>
  <si>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</si>
  <si>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</si>
  <si>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</si>
  <si>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</si>
  <si>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</si>
  <si>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</si>
  <si>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</si>
  <si>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</si>
  <si>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</si>
  <si>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</si>
  <si>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</si>
  <si>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</si>
  <si>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</si>
  <si>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</si>
  <si>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</si>
  <si>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</si>
  <si>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</si>
  <si>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</si>
  <si>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</si>
  <si>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</si>
  <si>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</si>
  <si>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</si>
  <si>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</si>
  <si>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</si>
  <si>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</si>
  <si>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</si>
  <si>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</si>
  <si>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</si>
  <si>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</si>
  <si>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</si>
  <si>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</si>
  <si>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</si>
  <si>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</si>
  <si>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</si>
  <si>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</si>
  <si>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</si>
  <si>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</si>
  <si>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</si>
  <si>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</si>
  <si>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</si>
  <si>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</si>
  <si>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</si>
  <si>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</si>
  <si>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</si>
  <si>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</si>
  <si>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</si>
  <si>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</si>
  <si>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</si>
  <si>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</si>
  <si>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</si>
  <si>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</si>
  <si>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</si>
  <si>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</si>
  <si>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</si>
  <si>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</si>
  <si>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</si>
  <si>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</si>
  <si>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</si>
  <si>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</si>
  <si>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</si>
  <si>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</si>
  <si>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</si>
  <si>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</si>
  <si>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</si>
  <si>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</si>
  <si>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</si>
  <si>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</si>
  <si>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</si>
  <si>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</si>
  <si>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</si>
  <si>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</si>
  <si>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</si>
  <si>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</si>
  <si>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</si>
  <si>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</si>
  <si>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</si>
  <si>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</si>
  <si>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</si>
  <si>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</si>
  <si>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</si>
  <si>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</si>
  <si>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</si>
  <si>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</si>
  <si>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</si>
  <si>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</si>
  <si>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</si>
  <si>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</si>
  <si>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</si>
  <si>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</si>
  <si>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</si>
  <si>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</si>
  <si>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</si>
  <si>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</si>
  <si>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</si>
  <si>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</si>
  <si>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</si>
  <si>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</si>
  <si>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</si>
  <si>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</si>
  <si>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</si>
  <si>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</si>
  <si>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</si>
  <si>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</si>
  <si>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</si>
  <si>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</si>
  <si>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</si>
  <si>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</si>
  <si>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</si>
  <si>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</si>
  <si>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</si>
  <si>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</si>
  <si>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</si>
  <si>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</si>
  <si>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</si>
  <si>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</si>
  <si>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</si>
  <si>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</si>
  <si>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</si>
  <si>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</si>
  <si>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</si>
  <si>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</si>
  <si>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</si>
  <si>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</si>
  <si>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</si>
  <si>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</si>
  <si>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</si>
  <si>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</si>
  <si>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</si>
  <si>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</si>
  <si>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</si>
  <si>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</si>
  <si>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</si>
  <si>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</si>
  <si>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</si>
  <si>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</si>
  <si>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</si>
  <si>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</si>
  <si>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</si>
  <si>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</si>
  <si>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</si>
  <si>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</si>
  <si>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</si>
  <si>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</si>
  <si>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</si>
  <si>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</si>
  <si>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</si>
  <si>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</si>
  <si>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</si>
  <si>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</si>
  <si>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</si>
  <si>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</si>
  <si>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</si>
  <si>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</si>
  <si>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</si>
  <si>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</si>
  <si>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</si>
  <si>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</si>
  <si>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</si>
  <si>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</si>
  <si>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</si>
  <si>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</si>
  <si>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</si>
  <si>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</si>
  <si>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</si>
  <si>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</si>
  <si>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</si>
  <si>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</si>
  <si>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</si>
  <si>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</si>
  <si>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</si>
  <si>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</si>
  <si>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</si>
  <si>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</si>
  <si>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</si>
  <si>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</si>
  <si>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</si>
  <si>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</si>
  <si>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</si>
  <si>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</si>
  <si>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</si>
  <si>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</si>
  <si>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</si>
  <si>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</si>
  <si>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</si>
  <si>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</si>
  <si>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</si>
  <si>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</si>
  <si>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</si>
  <si>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</si>
  <si>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</si>
  <si>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</si>
  <si>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</si>
  <si>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</si>
  <si>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</si>
  <si>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</si>
  <si>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</si>
  <si>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</si>
  <si>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</si>
  <si>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</si>
  <si>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</si>
  <si>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</si>
  <si>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</si>
  <si>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</si>
  <si>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</si>
  <si>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</si>
  <si>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</si>
  <si>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</si>
  <si>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</si>
  <si>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</si>
  <si>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</si>
  <si>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</si>
  <si>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</si>
  <si>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</si>
  <si>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</si>
  <si>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</si>
  <si>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</si>
  <si>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</si>
  <si>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</si>
  <si>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</si>
  <si>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</si>
  <si>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</si>
  <si>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</si>
  <si>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</si>
  <si>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</si>
  <si>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</si>
  <si>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</si>
  <si>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</si>
  <si>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</si>
  <si>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</si>
  <si>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</si>
  <si>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</si>
  <si>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</si>
  <si>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</si>
  <si>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</si>
  <si>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</si>
  <si>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</si>
  <si>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</si>
  <si>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</si>
  <si>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</si>
  <si>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</si>
  <si>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</si>
  <si>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</si>
  <si>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</si>
  <si>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</si>
  <si>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</si>
  <si>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</si>
  <si>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</si>
  <si>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</si>
  <si>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</si>
  <si>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</si>
  <si>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</si>
  <si>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</si>
  <si>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</si>
  <si>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</si>
  <si>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</si>
  <si>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</si>
  <si>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</si>
  <si>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</si>
  <si>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</si>
  <si>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</si>
  <si>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</si>
  <si>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</si>
  <si>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</si>
  <si>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</si>
  <si>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</si>
  <si>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</si>
  <si>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</si>
  <si>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</si>
  <si>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</si>
  <si>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</si>
  <si>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</si>
  <si>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</si>
  <si>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</si>
  <si>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</si>
  <si>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</si>
  <si>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</si>
  <si>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</si>
  <si>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</si>
  <si>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</si>
  <si>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</si>
  <si>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</si>
  <si>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</si>
  <si>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</si>
  <si>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</si>
  <si>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</si>
  <si>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</si>
  <si>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</si>
  <si>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</si>
  <si>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</si>
  <si>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</si>
  <si>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</si>
  <si>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</si>
  <si>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</si>
  <si>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</si>
  <si>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</si>
  <si>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</si>
  <si>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</si>
  <si>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</si>
  <si>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</si>
  <si>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</si>
  <si>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</si>
  <si>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</si>
  <si>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</si>
  <si>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</si>
  <si>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</si>
  <si>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</si>
  <si>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</si>
  <si>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</si>
  <si>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</si>
  <si>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</si>
  <si>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</si>
  <si>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</si>
  <si>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</si>
  <si>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</si>
  <si>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</si>
  <si>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</si>
  <si>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</si>
  <si>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</si>
  <si>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</si>
  <si>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</si>
  <si>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</si>
  <si>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</si>
  <si>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</si>
  <si>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</si>
  <si>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</si>
  <si>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</si>
  <si>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</si>
  <si>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</si>
  <si>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</si>
  <si>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</si>
  <si>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</si>
  <si>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</si>
  <si>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</si>
  <si>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</si>
  <si>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</si>
  <si>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</si>
  <si>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</si>
  <si>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</si>
  <si>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</si>
  <si>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</si>
  <si>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</si>
  <si>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</si>
  <si>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</si>
  <si>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</si>
  <si>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</si>
  <si>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</si>
  <si>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</si>
  <si>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</si>
  <si>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</si>
  <si>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</si>
  <si>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</si>
  <si>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</si>
  <si>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</si>
  <si>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</si>
  <si>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</si>
  <si>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</si>
  <si>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</si>
  <si>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</si>
  <si>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</si>
  <si>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</si>
  <si>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</si>
  <si>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</si>
  <si>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</si>
  <si>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</si>
  <si>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</si>
  <si>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</si>
  <si>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</si>
  <si>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</si>
  <si>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</si>
  <si>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</si>
  <si>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</si>
  <si>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</si>
  <si>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</si>
  <si>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</si>
  <si>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</si>
  <si>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</si>
  <si>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</si>
  <si>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</si>
  <si>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</si>
  <si>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</si>
  <si>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</si>
  <si>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</si>
  <si>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</si>
  <si>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</si>
  <si>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</si>
  <si>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</si>
  <si>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</si>
  <si>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</si>
  <si>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</si>
  <si>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</si>
  <si>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</si>
  <si>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</si>
  <si>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</si>
  <si>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</si>
  <si>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</si>
  <si>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</si>
  <si>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</si>
  <si>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</si>
  <si>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</si>
  <si>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</si>
  <si>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</si>
  <si>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</si>
  <si>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</si>
  <si>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</si>
  <si>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</si>
  <si>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</si>
  <si>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</si>
  <si>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</si>
  <si>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</si>
  <si>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</si>
  <si>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</si>
  <si>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</si>
  <si>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</si>
  <si>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</si>
  <si>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</si>
  <si>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</si>
  <si>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</si>
  <si>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</si>
  <si>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</si>
  <si>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</si>
  <si>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</si>
  <si>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</si>
  <si>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</si>
  <si>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</si>
  <si>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</si>
  <si>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</si>
  <si>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</si>
  <si>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</si>
  <si>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</si>
  <si>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</si>
  <si>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</si>
  <si>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</si>
  <si>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</si>
  <si>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</si>
  <si>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</si>
  <si>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</si>
  <si>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</si>
  <si>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</si>
  <si>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</si>
  <si>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</si>
  <si>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</si>
  <si>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</si>
  <si>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</si>
  <si>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</si>
  <si>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</si>
  <si>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</si>
  <si>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</si>
  <si>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</si>
  <si>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</si>
  <si>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</si>
  <si>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</si>
  <si>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</si>
  <si>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</si>
  <si>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</si>
  <si>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</si>
  <si>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</si>
  <si>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</si>
  <si>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</si>
  <si>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</si>
  <si>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</si>
  <si>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</si>
  <si>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</si>
  <si>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</si>
  <si>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</si>
  <si>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</si>
  <si>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</si>
  <si>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</si>
  <si>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</si>
  <si>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</si>
  <si>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</si>
  <si>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</si>
  <si>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</si>
  <si>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</si>
  <si>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</si>
  <si>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</si>
  <si>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</si>
  <si>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</si>
  <si>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</si>
  <si>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</si>
  <si>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</si>
  <si>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</si>
  <si>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</si>
  <si>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</si>
  <si>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</si>
  <si>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</si>
  <si>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</si>
  <si>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</si>
  <si>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</si>
  <si>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</si>
  <si>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</si>
  <si>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</si>
  <si>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</si>
  <si>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</si>
  <si>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</si>
  <si>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</si>
  <si>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</si>
  <si>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</si>
  <si>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</si>
  <si>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</si>
  <si>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</si>
  <si>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</si>
  <si>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</si>
  <si>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</si>
  <si>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</si>
  <si>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</si>
  <si>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</si>
  <si>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</si>
  <si>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</si>
  <si>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</si>
  <si>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</si>
  <si>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</si>
  <si>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</si>
  <si>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</si>
  <si>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</si>
  <si>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</si>
  <si>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</si>
  <si>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</si>
  <si>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</si>
  <si>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</si>
  <si>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</si>
  <si>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</si>
  <si>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</si>
  <si>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</si>
  <si>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</si>
  <si>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</si>
  <si>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</si>
  <si>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</si>
  <si>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</si>
  <si>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</si>
  <si>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</si>
  <si>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</si>
  <si>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</si>
  <si>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</si>
  <si>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</si>
  <si>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</si>
  <si>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</si>
  <si>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</si>
  <si>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</si>
  <si>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</si>
  <si>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</si>
  <si>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</si>
  <si>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</si>
  <si>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</si>
  <si>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</si>
  <si>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</si>
  <si>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</si>
  <si>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</si>
  <si>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</si>
  <si>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</si>
  <si>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</si>
  <si>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</si>
  <si>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</si>
  <si>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</si>
  <si>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</si>
  <si>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</si>
  <si>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</si>
  <si>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</si>
  <si>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</si>
  <si>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</si>
  <si>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</si>
  <si>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</si>
  <si>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</si>
  <si>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</si>
  <si>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</si>
  <si>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</si>
  <si>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</si>
  <si>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</si>
  <si>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</si>
  <si>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</si>
  <si>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</si>
  <si>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</si>
  <si>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</si>
  <si>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</si>
  <si>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</si>
  <si>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</si>
  <si>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</si>
  <si>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</si>
  <si>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</si>
  <si>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</si>
  <si>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</si>
  <si>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</si>
  <si>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</si>
  <si>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</si>
  <si>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</si>
  <si>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</si>
  <si>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</si>
  <si>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</si>
  <si>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</si>
  <si>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</si>
  <si>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</si>
  <si>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</si>
  <si>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</si>
  <si>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</si>
  <si>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</si>
  <si>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</si>
  <si>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</si>
  <si>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</si>
  <si>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</si>
  <si>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</si>
  <si>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</si>
  <si>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</si>
  <si>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</si>
  <si>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</si>
  <si>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</si>
  <si>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</si>
  <si>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</si>
  <si>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</si>
  <si>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</si>
  <si>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</si>
  <si>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</si>
  <si>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</si>
  <si>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</si>
  <si>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</si>
  <si>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</si>
  <si>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</si>
  <si>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</si>
  <si>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</si>
  <si>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</si>
  <si>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</si>
  <si>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</si>
  <si>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</si>
  <si>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</si>
  <si>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</si>
  <si>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</si>
  <si>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</si>
  <si>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</si>
  <si>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</si>
  <si>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</si>
  <si>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</si>
  <si>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</si>
  <si>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</si>
  <si>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</si>
  <si>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</si>
  <si>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</si>
  <si>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</si>
  <si>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</si>
  <si>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</si>
  <si>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</si>
  <si>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</si>
  <si>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</si>
  <si>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</si>
  <si>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</si>
  <si>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</si>
  <si>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</si>
  <si>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</si>
  <si>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</si>
  <si>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</si>
  <si>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</si>
  <si>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</si>
  <si>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</si>
  <si>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</si>
  <si>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</si>
  <si>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</si>
  <si>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</si>
  <si>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</si>
  <si>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</si>
  <si>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</si>
  <si>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</si>
  <si>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</si>
  <si>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</si>
  <si>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</si>
  <si>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</si>
  <si>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</si>
  <si>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</si>
  <si>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</si>
  <si>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</si>
  <si>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</si>
  <si>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</si>
  <si>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</si>
  <si>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</si>
  <si>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</si>
  <si>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</si>
  <si>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</si>
  <si>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</si>
  <si>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</si>
  <si>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</si>
  <si>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</si>
  <si>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</si>
  <si>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</si>
  <si>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</si>
  <si>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</si>
  <si>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</si>
  <si>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</si>
  <si>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</si>
  <si>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</si>
  <si>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</si>
  <si>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</si>
  <si>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</si>
  <si>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</si>
  <si>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</si>
  <si>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</si>
  <si>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</si>
  <si>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</si>
  <si>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</si>
  <si>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</si>
  <si>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</si>
  <si>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</si>
  <si>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</si>
  <si>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</si>
  <si>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</si>
  <si>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</si>
  <si>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</si>
  <si>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</si>
  <si>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</si>
  <si>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</si>
  <si>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</si>
  <si>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</si>
  <si>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</si>
  <si>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</si>
  <si>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</si>
  <si>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</si>
  <si>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</si>
  <si>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</si>
  <si>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</si>
  <si>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</si>
  <si>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</si>
  <si>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</si>
  <si>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</si>
  <si>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</si>
  <si>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</si>
  <si>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</si>
  <si>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</si>
  <si>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</si>
  <si>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</si>
  <si>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</si>
  <si>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</si>
  <si>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</si>
  <si>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</si>
  <si>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</si>
  <si>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</si>
  <si>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</si>
  <si>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</si>
  <si>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</si>
  <si>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</si>
  <si>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</si>
  <si>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</si>
  <si>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</si>
  <si>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</si>
  <si>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</si>
  <si>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</si>
  <si>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</si>
  <si>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</si>
  <si>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</si>
  <si>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</si>
  <si>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</si>
  <si>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</si>
  <si>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</si>
  <si>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</si>
  <si>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</si>
  <si>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</si>
  <si>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</si>
  <si>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</si>
  <si>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</si>
  <si>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</si>
  <si>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</si>
  <si>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</si>
  <si>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</si>
  <si>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</si>
  <si>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</si>
  <si>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</si>
  <si>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</si>
  <si>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</si>
  <si>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</si>
  <si>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</si>
  <si>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</si>
  <si>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</si>
  <si>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</si>
  <si>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</si>
  <si>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</si>
  <si>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</si>
  <si>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</si>
  <si>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</si>
  <si>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</si>
  <si>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</si>
  <si>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</si>
  <si>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</si>
  <si>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</si>
  <si>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</si>
  <si>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</si>
  <si>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</si>
  <si>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</si>
  <si>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</si>
  <si>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</si>
  <si>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</si>
  <si>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</si>
  <si>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</si>
  <si>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</si>
  <si>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</si>
  <si>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</si>
  <si>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</si>
  <si>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</si>
  <si>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</si>
  <si>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</si>
  <si>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</si>
  <si>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</si>
  <si>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</si>
  <si>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</si>
  <si>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</si>
  <si>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</si>
  <si>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</si>
  <si>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</si>
  <si>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</si>
  <si>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</si>
  <si>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</si>
  <si>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</si>
  <si>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</si>
  <si>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</si>
  <si>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</si>
  <si>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</si>
  <si>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</si>
  <si>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</si>
  <si>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</si>
  <si>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</si>
  <si>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</si>
  <si>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</si>
  <si>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</si>
  <si>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</si>
  <si>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</si>
  <si>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</si>
  <si>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</si>
  <si>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</si>
  <si>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</si>
  <si>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</si>
  <si>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</si>
  <si>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</si>
  <si>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</si>
  <si>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</si>
  <si>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</si>
  <si>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</si>
  <si>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</si>
  <si>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top up to 30k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</si>
  <si>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</si>
  <si>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</si>
  <si>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</si>
  <si>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</si>
  <si>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</si>
  <si>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</si>
  <si>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</si>
  <si>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</si>
  <si>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</si>
  <si>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</si>
  <si>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</si>
  <si>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</si>
  <si>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</si>
  <si>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</si>
  <si>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</si>
  <si>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</si>
  <si>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</si>
  <si>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</si>
  <si>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</si>
  <si>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</si>
  <si>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</si>
  <si>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</si>
  <si>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</si>
  <si>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</si>
  <si>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</si>
  <si>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</si>
  <si>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</si>
  <si>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</si>
  <si>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</si>
  <si>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</si>
  <si>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</si>
  <si>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</si>
  <si>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</si>
  <si>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</si>
  <si>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</si>
  <si>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</si>
  <si>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</si>
  <si>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</si>
  <si>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</si>
  <si>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</si>
  <si>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</si>
  <si>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</si>
  <si>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MCSA base #31/7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</si>
  <si>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</si>
  <si>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</si>
  <si>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</si>
  <si>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</si>
  <si>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</si>
  <si>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</si>
  <si>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</si>
  <si>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</si>
  <si>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</si>
  <si>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</si>
  <si>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</si>
  <si>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</si>
  <si>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</si>
  <si>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</si>
  <si>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</si>
  <si>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</si>
  <si>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</si>
  <si>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</si>
  <si>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</si>
  <si>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</si>
  <si>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</si>
  <si>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</si>
  <si>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</si>
  <si>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</si>
  <si>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</si>
  <si>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</si>
  <si>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</si>
  <si>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</si>
  <si>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</si>
  <si>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</si>
  <si>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</si>
  <si>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</si>
  <si>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</si>
  <si>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</si>
  <si>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</si>
  <si>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</si>
  <si>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</si>
  <si>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</si>
  <si>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</si>
  <si>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</si>
  <si>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</si>
  <si>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 xml:space="preserve">anyW </t>
  </si>
  <si>
    <t>kids placeholder</t>
  </si>
  <si>
    <t>PA中秋 #FnF</t>
  </si>
  <si>
    <t>B2)inv #sum2return</t>
  </si>
  <si>
    <t>Szr@TPY</t>
  </si>
  <si>
    <t>HsbcRBBT final int</t>
  </si>
  <si>
    <t>MbRBBT final int</t>
  </si>
  <si>
    <t>Poems acct  accrue</t>
  </si>
  <si>
    <t>e$ int #</t>
  </si>
  <si>
    <t xml:space="preserve">Starhub+Cmlink </t>
  </si>
  <si>
    <t>PacLight #BocD</t>
  </si>
  <si>
    <t>SgPow #BocD</t>
  </si>
  <si>
    <t>&gt;29Aug</t>
  </si>
  <si>
    <t>bondMufu#4k</t>
  </si>
  <si>
    <t>Szr Somerset</t>
  </si>
  <si>
    <t>FoodOpera#scsc</t>
  </si>
  <si>
    <t>to boy</t>
  </si>
  <si>
    <t xml:space="preserve">FnF  </t>
  </si>
  <si>
    <t xml:space="preserve">scsc  </t>
  </si>
  <si>
    <t>SOD1/9</t>
  </si>
  <si>
    <t>top up 1k</t>
  </si>
  <si>
    <t>DBS104 #TotBal</t>
  </si>
  <si>
    <t>MCSA TotBal</t>
  </si>
  <si>
    <t>&gt;30Aug</t>
  </si>
  <si>
    <t>Szr #scsc</t>
  </si>
  <si>
    <t>scsc @ACL↴ CR</t>
  </si>
  <si>
    <t>108{mcsa</t>
  </si>
  <si>
    <t>SNEC</t>
  </si>
  <si>
    <t>refundSCSC{TripCom</t>
  </si>
  <si>
    <t>{3k</t>
  </si>
  <si>
    <t>EGA{tBill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</si>
</sst>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d\ mmm\ yy\ ddd"/>
  </numFmts>
  <fonts count="75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42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0" fontId="69" fillId="0" borderId="0" xfId="0" applyNumberFormat="1" applyFo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0" fontId="68" fillId="0" borderId="0" xfId="0" applyFont="1" applyAlignment="1">
      <alignment horizontal="right"/>
    </xf>
    <xf numFmtId="3" fontId="68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5" fontId="0" fillId="0" borderId="6" xfId="0" applyNumberFormat="1" applyFont="1" applyFill="1" applyBorder="1"/>
    <xf numFmtId="185" fontId="0" fillId="0" borderId="8" xfId="0" applyNumberFormat="1" applyFont="1" applyFill="1" applyBorder="1"/>
    <xf numFmtId="10" fontId="68" fillId="0" borderId="0" xfId="0" applyNumberFormat="1" applyFont="1" applyAlignment="1">
      <alignment horizontal="right"/>
    </xf>
    <xf numFmtId="3" fontId="68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4" fillId="0" borderId="0" xfId="0" applyFont="1"/>
    <xf numFmtId="3" fontId="68" fillId="0" borderId="0" xfId="0" applyNumberFormat="1" applyFont="1" applyBorder="1"/>
    <xf numFmtId="0" fontId="68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8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170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3368</v>
      </c>
      <c r="C2" s="16"/>
      <c r="D2" s="15" t="s">
        <v>3369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3370</v>
      </c>
      <c r="I4" s="21" t="s">
        <v>3371</v>
      </c>
      <c r="J4" s="21" t="s">
        <v>3372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3373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3374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3375</v>
      </c>
      <c r="I29" s="14" t="s">
        <v>3376</v>
      </c>
      <c r="J29" s="14" t="s">
        <v>3377</v>
      </c>
      <c r="K29" s="14" t="s">
        <v>3378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3379</v>
      </c>
      <c r="I32" s="14" t="s">
        <v>3379</v>
      </c>
      <c r="J32" s="14" t="s">
        <v>3379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28">
        <f t="shared" ref="I33:J33" si="2">I30*I31/365*30</f>
        <v>73.972602739726014</v>
      </c>
      <c r="J33" s="628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3380</v>
      </c>
    </row>
    <row r="35" spans="2:11">
      <c r="B35" s="23">
        <f>AVERAGE(B3:B33)</f>
        <v>100000</v>
      </c>
      <c r="D35" s="741">
        <f>SUMPRODUCT(D3:D33,E3:E33)/365</f>
        <v>32.909589041095877</v>
      </c>
      <c r="E35" s="741"/>
      <c r="F35" s="26"/>
    </row>
    <row r="36" spans="2:11">
      <c r="B36" s="16" t="s">
        <v>3381</v>
      </c>
      <c r="D36" s="741" t="s">
        <v>3382</v>
      </c>
      <c r="E36" s="741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3383</v>
      </c>
      <c r="C2" s="3" t="s">
        <v>1554</v>
      </c>
      <c r="D2" s="2" t="s">
        <v>3384</v>
      </c>
      <c r="E2" s="4" t="s">
        <v>3385</v>
      </c>
      <c r="F2" s="4" t="s">
        <v>3386</v>
      </c>
      <c r="G2" s="4" t="s">
        <v>3387</v>
      </c>
      <c r="H2" s="3" t="s">
        <v>513</v>
      </c>
      <c r="I2" s="13" t="s">
        <v>3388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3389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3389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3389</v>
      </c>
      <c r="G6" s="5">
        <f>SUM(B6:E6)</f>
        <v>112225.48</v>
      </c>
      <c r="H6" s="7">
        <v>44195</v>
      </c>
      <c r="I6" s="9" t="s">
        <v>3390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3389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3391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3389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3389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3389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3389</v>
      </c>
      <c r="G12" s="5">
        <f t="shared" si="1"/>
        <v>109175.48</v>
      </c>
      <c r="H12" s="7">
        <v>44701</v>
      </c>
      <c r="I12" s="9" t="s">
        <v>3392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3389</v>
      </c>
      <c r="G13" s="5">
        <f t="shared" si="1"/>
        <v>110985.48</v>
      </c>
      <c r="H13" s="7">
        <v>44727</v>
      </c>
      <c r="I13" s="9" t="s">
        <v>3393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3389</v>
      </c>
      <c r="G14" s="5">
        <f t="shared" si="1"/>
        <v>106859.48</v>
      </c>
      <c r="H14" s="7">
        <v>44788</v>
      </c>
      <c r="I14" s="9" t="s">
        <v>3394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3389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3389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3389</v>
      </c>
      <c r="G17" s="5">
        <f t="shared" si="2"/>
        <v>99359.48</v>
      </c>
      <c r="H17" s="7">
        <v>44910</v>
      </c>
      <c r="I17" s="9" t="s">
        <v>3394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3389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3389</v>
      </c>
      <c r="G19" s="5">
        <f t="shared" si="2"/>
        <v>101108.48</v>
      </c>
      <c r="H19" s="7">
        <v>45092</v>
      </c>
      <c r="I19" s="9" t="s">
        <v>3395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3389</v>
      </c>
      <c r="G20" s="5">
        <f t="shared" si="2"/>
        <v>105108.48</v>
      </c>
      <c r="H20" s="7">
        <v>45127</v>
      </c>
      <c r="I20" s="9" t="s">
        <v>3396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3389</v>
      </c>
      <c r="G21" s="5">
        <f t="shared" ref="G21" si="3">SUM(B21:E21)</f>
        <v>105108.48</v>
      </c>
      <c r="H21" s="7">
        <v>45285</v>
      </c>
      <c r="I21" s="9" t="s">
        <v>3397</v>
      </c>
    </row>
    <row r="22" spans="2:9">
      <c r="B22" s="5"/>
      <c r="C22" s="9" t="s">
        <v>3398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3389</v>
      </c>
      <c r="G23" s="5">
        <f t="shared" ref="G23" si="4">SUM(B23:E23)</f>
        <v>110108.48</v>
      </c>
      <c r="H23" s="7">
        <v>45350</v>
      </c>
      <c r="I23" s="9" t="s">
        <v>3399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3389</v>
      </c>
      <c r="G24" s="5">
        <f t="shared" ref="G24" si="5">SUM(B24:E24)</f>
        <v>115005.48</v>
      </c>
      <c r="H24" s="7">
        <v>45473</v>
      </c>
      <c r="I24" s="9" t="s">
        <v>3435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3400</v>
      </c>
    </row>
    <row r="3" spans="1:2">
      <c r="A3">
        <v>2</v>
      </c>
      <c r="B3" t="s">
        <v>3401</v>
      </c>
    </row>
    <row r="4" spans="1:2">
      <c r="A4">
        <v>3</v>
      </c>
      <c r="B4" t="s">
        <v>3402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676" t="s">
        <v>91</v>
      </c>
      <c r="C1" s="676"/>
      <c r="D1" s="677" t="s">
        <v>92</v>
      </c>
      <c r="E1" s="676"/>
      <c r="F1" s="677" t="s">
        <v>93</v>
      </c>
      <c r="G1" s="676"/>
      <c r="H1" s="678" t="s">
        <v>94</v>
      </c>
      <c r="I1" s="678"/>
      <c r="J1" s="679" t="s">
        <v>92</v>
      </c>
      <c r="K1" s="680"/>
      <c r="L1" s="681" t="s">
        <v>95</v>
      </c>
      <c r="M1" s="682"/>
      <c r="N1" s="678" t="s">
        <v>96</v>
      </c>
      <c r="O1" s="678"/>
      <c r="P1" s="679" t="s">
        <v>97</v>
      </c>
      <c r="Q1" s="680"/>
      <c r="R1" s="681" t="s">
        <v>98</v>
      </c>
      <c r="S1" s="682"/>
      <c r="T1" s="683" t="s">
        <v>99</v>
      </c>
      <c r="U1" s="683"/>
      <c r="V1" s="679" t="s">
        <v>92</v>
      </c>
      <c r="W1" s="680"/>
      <c r="X1" s="684" t="s">
        <v>100</v>
      </c>
      <c r="Y1" s="685"/>
      <c r="Z1" s="683" t="s">
        <v>101</v>
      </c>
      <c r="AA1" s="683"/>
      <c r="AB1" s="686" t="s">
        <v>92</v>
      </c>
      <c r="AC1" s="687"/>
      <c r="AD1" s="688" t="s">
        <v>100</v>
      </c>
      <c r="AE1" s="689"/>
      <c r="AF1" s="683" t="s">
        <v>102</v>
      </c>
      <c r="AG1" s="683"/>
      <c r="AH1" s="686" t="s">
        <v>92</v>
      </c>
      <c r="AI1" s="687"/>
      <c r="AJ1" s="684" t="s">
        <v>103</v>
      </c>
      <c r="AK1" s="685"/>
      <c r="AL1" s="683" t="s">
        <v>104</v>
      </c>
      <c r="AM1" s="683"/>
      <c r="AN1" s="690" t="s">
        <v>92</v>
      </c>
      <c r="AO1" s="691"/>
      <c r="AP1" s="692" t="s">
        <v>105</v>
      </c>
      <c r="AQ1" s="693"/>
      <c r="AR1" s="683" t="s">
        <v>106</v>
      </c>
      <c r="AS1" s="683"/>
      <c r="AV1" s="692" t="s">
        <v>107</v>
      </c>
      <c r="AW1" s="693"/>
      <c r="AX1" s="694" t="s">
        <v>108</v>
      </c>
      <c r="AY1" s="694"/>
      <c r="AZ1" s="694"/>
      <c r="BA1" s="354"/>
      <c r="BB1" s="695">
        <v>42942</v>
      </c>
      <c r="BC1" s="696"/>
      <c r="BD1" s="696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702" t="s">
        <v>124</v>
      </c>
      <c r="U4" s="702"/>
      <c r="X4" s="435" t="s">
        <v>123</v>
      </c>
      <c r="Y4" s="461">
        <f>Y3-Y6</f>
        <v>4.9669099999591708</v>
      </c>
      <c r="Z4" s="702" t="s">
        <v>125</v>
      </c>
      <c r="AA4" s="702"/>
      <c r="AD4" s="404" t="s">
        <v>123</v>
      </c>
      <c r="AE4" s="404">
        <f>AE3-AE5</f>
        <v>-52.526899999851594</v>
      </c>
      <c r="AF4" s="702" t="s">
        <v>125</v>
      </c>
      <c r="AG4" s="702"/>
      <c r="AH4" s="72"/>
      <c r="AI4" s="72"/>
      <c r="AJ4" s="404" t="s">
        <v>123</v>
      </c>
      <c r="AK4" s="404">
        <f>AK3-AK5</f>
        <v>94.988909999992757</v>
      </c>
      <c r="AL4" s="702" t="s">
        <v>125</v>
      </c>
      <c r="AM4" s="702"/>
      <c r="AP4" s="58" t="s">
        <v>123</v>
      </c>
      <c r="AQ4" s="57">
        <f>AQ3-AQ5</f>
        <v>33.841989999942598</v>
      </c>
      <c r="AR4" s="702" t="s">
        <v>125</v>
      </c>
      <c r="AS4" s="702"/>
      <c r="AX4" s="702" t="s">
        <v>126</v>
      </c>
      <c r="AY4" s="702"/>
      <c r="BB4" s="702" t="s">
        <v>127</v>
      </c>
      <c r="BC4" s="702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702"/>
      <c r="U5" s="702"/>
      <c r="V5" s="348" t="s">
        <v>132</v>
      </c>
      <c r="W5">
        <v>2050</v>
      </c>
      <c r="X5" s="409"/>
      <c r="Z5" s="702"/>
      <c r="AA5" s="702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702"/>
      <c r="AG5" s="702"/>
      <c r="AH5" s="72"/>
      <c r="AI5" s="72"/>
      <c r="AJ5" s="404" t="s">
        <v>134</v>
      </c>
      <c r="AK5" s="462">
        <f>SUM(AK11:AK59)</f>
        <v>30858.011000000002</v>
      </c>
      <c r="AL5" s="702"/>
      <c r="AM5" s="702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702"/>
      <c r="AS5" s="702"/>
      <c r="AX5" s="702"/>
      <c r="AY5" s="702"/>
      <c r="BB5" s="702"/>
      <c r="BC5" s="702"/>
      <c r="BD5" s="697" t="s">
        <v>136</v>
      </c>
      <c r="BE5" s="697"/>
      <c r="BF5" s="697"/>
      <c r="BG5" s="697"/>
      <c r="BH5" s="697"/>
      <c r="BI5" s="697"/>
      <c r="BJ5" s="697"/>
      <c r="BK5" s="697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698" t="s">
        <v>335</v>
      </c>
      <c r="W23" s="699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700"/>
      <c r="W24" s="701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703" t="s">
        <v>524</v>
      </c>
      <c r="F38" s="704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76" t="s">
        <v>567</v>
      </c>
      <c r="C1" s="676"/>
      <c r="D1" s="688" t="s">
        <v>568</v>
      </c>
      <c r="E1" s="689"/>
      <c r="F1" s="676" t="s">
        <v>569</v>
      </c>
      <c r="G1" s="676"/>
      <c r="H1" s="705" t="s">
        <v>570</v>
      </c>
      <c r="I1" s="706"/>
      <c r="J1" s="688" t="s">
        <v>568</v>
      </c>
      <c r="K1" s="689"/>
      <c r="L1" s="676" t="s">
        <v>571</v>
      </c>
      <c r="M1" s="676"/>
      <c r="N1" s="705" t="s">
        <v>570</v>
      </c>
      <c r="O1" s="706"/>
      <c r="P1" s="688" t="s">
        <v>568</v>
      </c>
      <c r="Q1" s="689"/>
      <c r="R1" s="676" t="s">
        <v>572</v>
      </c>
      <c r="S1" s="676"/>
      <c r="T1" s="705" t="s">
        <v>570</v>
      </c>
      <c r="U1" s="706"/>
      <c r="V1" s="688" t="s">
        <v>568</v>
      </c>
      <c r="W1" s="689"/>
      <c r="X1" s="676" t="s">
        <v>573</v>
      </c>
      <c r="Y1" s="676"/>
      <c r="Z1" s="705" t="s">
        <v>570</v>
      </c>
      <c r="AA1" s="706"/>
      <c r="AB1" s="688" t="s">
        <v>568</v>
      </c>
      <c r="AC1" s="689"/>
      <c r="AD1" s="676" t="s">
        <v>574</v>
      </c>
      <c r="AE1" s="676"/>
      <c r="AF1" s="705" t="s">
        <v>570</v>
      </c>
      <c r="AG1" s="706"/>
      <c r="AH1" s="688" t="s">
        <v>568</v>
      </c>
      <c r="AI1" s="689"/>
      <c r="AJ1" s="676" t="s">
        <v>575</v>
      </c>
      <c r="AK1" s="676"/>
      <c r="AL1" s="705" t="s">
        <v>576</v>
      </c>
      <c r="AM1" s="706"/>
      <c r="AN1" s="688" t="s">
        <v>577</v>
      </c>
      <c r="AO1" s="689"/>
      <c r="AP1" s="676" t="s">
        <v>578</v>
      </c>
      <c r="AQ1" s="676"/>
      <c r="AR1" s="705" t="s">
        <v>570</v>
      </c>
      <c r="AS1" s="706"/>
      <c r="AT1" s="688" t="s">
        <v>568</v>
      </c>
      <c r="AU1" s="689"/>
      <c r="AV1" s="676" t="s">
        <v>579</v>
      </c>
      <c r="AW1" s="676"/>
      <c r="AX1" s="705" t="s">
        <v>570</v>
      </c>
      <c r="AY1" s="706"/>
      <c r="AZ1" s="688" t="s">
        <v>568</v>
      </c>
      <c r="BA1" s="689"/>
      <c r="BB1" s="676" t="s">
        <v>580</v>
      </c>
      <c r="BC1" s="676"/>
      <c r="BD1" s="705" t="s">
        <v>570</v>
      </c>
      <c r="BE1" s="706"/>
      <c r="BF1" s="688" t="s">
        <v>568</v>
      </c>
      <c r="BG1" s="689"/>
      <c r="BH1" s="676" t="s">
        <v>581</v>
      </c>
      <c r="BI1" s="676"/>
      <c r="BJ1" s="705" t="s">
        <v>570</v>
      </c>
      <c r="BK1" s="706"/>
      <c r="BL1" s="688" t="s">
        <v>568</v>
      </c>
      <c r="BM1" s="689"/>
      <c r="BN1" s="676" t="s">
        <v>582</v>
      </c>
      <c r="BO1" s="676"/>
      <c r="BP1" s="705" t="s">
        <v>570</v>
      </c>
      <c r="BQ1" s="706"/>
      <c r="BR1" s="688" t="s">
        <v>568</v>
      </c>
      <c r="BS1" s="689"/>
      <c r="BT1" s="676" t="s">
        <v>583</v>
      </c>
      <c r="BU1" s="676"/>
      <c r="BV1" s="705" t="s">
        <v>584</v>
      </c>
      <c r="BW1" s="706"/>
      <c r="BX1" s="688" t="s">
        <v>585</v>
      </c>
      <c r="BY1" s="689"/>
      <c r="BZ1" s="676" t="s">
        <v>586</v>
      </c>
      <c r="CA1" s="676"/>
      <c r="CB1" s="705" t="s">
        <v>587</v>
      </c>
      <c r="CC1" s="706"/>
      <c r="CD1" s="688" t="s">
        <v>588</v>
      </c>
      <c r="CE1" s="689"/>
      <c r="CF1" s="676" t="s">
        <v>589</v>
      </c>
      <c r="CG1" s="676"/>
      <c r="CH1" s="705" t="s">
        <v>587</v>
      </c>
      <c r="CI1" s="706"/>
      <c r="CJ1" s="688" t="s">
        <v>588</v>
      </c>
      <c r="CK1" s="689"/>
      <c r="CL1" s="676" t="s">
        <v>590</v>
      </c>
      <c r="CM1" s="676"/>
      <c r="CN1" s="705" t="s">
        <v>587</v>
      </c>
      <c r="CO1" s="706"/>
      <c r="CP1" s="688" t="s">
        <v>588</v>
      </c>
      <c r="CQ1" s="689"/>
      <c r="CR1" s="676" t="s">
        <v>591</v>
      </c>
      <c r="CS1" s="676"/>
      <c r="CT1" s="705" t="s">
        <v>587</v>
      </c>
      <c r="CU1" s="706"/>
      <c r="CV1" s="707" t="s">
        <v>588</v>
      </c>
      <c r="CW1" s="708"/>
      <c r="CX1" s="676" t="s">
        <v>592</v>
      </c>
      <c r="CY1" s="676"/>
      <c r="CZ1" s="705" t="s">
        <v>587</v>
      </c>
      <c r="DA1" s="706"/>
      <c r="DB1" s="707" t="s">
        <v>588</v>
      </c>
      <c r="DC1" s="708"/>
      <c r="DD1" s="676" t="s">
        <v>593</v>
      </c>
      <c r="DE1" s="676"/>
      <c r="DF1" s="705" t="s">
        <v>594</v>
      </c>
      <c r="DG1" s="706"/>
      <c r="DH1" s="707" t="s">
        <v>595</v>
      </c>
      <c r="DI1" s="708"/>
      <c r="DJ1" s="676" t="s">
        <v>596</v>
      </c>
      <c r="DK1" s="676"/>
      <c r="DL1" s="705" t="s">
        <v>594</v>
      </c>
      <c r="DM1" s="706"/>
      <c r="DN1" s="707" t="s">
        <v>588</v>
      </c>
      <c r="DO1" s="708"/>
      <c r="DP1" s="676" t="s">
        <v>597</v>
      </c>
      <c r="DQ1" s="676"/>
      <c r="DR1" s="705" t="s">
        <v>594</v>
      </c>
      <c r="DS1" s="706"/>
      <c r="DT1" s="707" t="s">
        <v>588</v>
      </c>
      <c r="DU1" s="708"/>
      <c r="DV1" s="676" t="s">
        <v>598</v>
      </c>
      <c r="DW1" s="676"/>
      <c r="DX1" s="705" t="s">
        <v>594</v>
      </c>
      <c r="DY1" s="706"/>
      <c r="DZ1" s="707" t="s">
        <v>588</v>
      </c>
      <c r="EA1" s="708"/>
      <c r="EB1" s="676" t="s">
        <v>599</v>
      </c>
      <c r="EC1" s="676"/>
      <c r="ED1" s="705" t="s">
        <v>594</v>
      </c>
      <c r="EE1" s="706"/>
      <c r="EF1" s="707" t="s">
        <v>588</v>
      </c>
      <c r="EG1" s="708"/>
      <c r="EH1" s="676" t="s">
        <v>600</v>
      </c>
      <c r="EI1" s="676"/>
      <c r="EJ1" s="705" t="s">
        <v>594</v>
      </c>
      <c r="EK1" s="706"/>
      <c r="EL1" s="707" t="s">
        <v>601</v>
      </c>
      <c r="EM1" s="708"/>
      <c r="EN1" s="676" t="s">
        <v>602</v>
      </c>
      <c r="EO1" s="676"/>
      <c r="EP1" s="705" t="s">
        <v>594</v>
      </c>
      <c r="EQ1" s="706"/>
      <c r="ER1" s="707" t="s">
        <v>603</v>
      </c>
      <c r="ES1" s="708"/>
      <c r="ET1" s="676" t="s">
        <v>604</v>
      </c>
      <c r="EU1" s="676"/>
      <c r="EV1" s="705" t="s">
        <v>594</v>
      </c>
      <c r="EW1" s="706"/>
      <c r="EX1" s="707" t="s">
        <v>103</v>
      </c>
      <c r="EY1" s="708"/>
      <c r="EZ1" s="676" t="s">
        <v>605</v>
      </c>
      <c r="FA1" s="676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709" t="s">
        <v>672</v>
      </c>
      <c r="CU7" s="676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709" t="s">
        <v>702</v>
      </c>
      <c r="DA8" s="676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709" t="s">
        <v>702</v>
      </c>
      <c r="DG8" s="676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709" t="s">
        <v>702</v>
      </c>
      <c r="DM8" s="676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709" t="s">
        <v>702</v>
      </c>
      <c r="DS8" s="676"/>
      <c r="DT8" s="14" t="s">
        <v>700</v>
      </c>
      <c r="DU8" s="14">
        <f>SUM(DU13:DU17)</f>
        <v>32</v>
      </c>
      <c r="DV8" s="9"/>
      <c r="DW8" s="9"/>
      <c r="DX8" s="709" t="s">
        <v>702</v>
      </c>
      <c r="DY8" s="676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09" t="s">
        <v>703</v>
      </c>
      <c r="EK8" s="676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709" t="s">
        <v>703</v>
      </c>
      <c r="EQ9" s="676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709" t="s">
        <v>703</v>
      </c>
      <c r="EW9" s="676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709" t="s">
        <v>703</v>
      </c>
      <c r="EE11" s="676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09" t="s">
        <v>702</v>
      </c>
      <c r="CU12" s="676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83" t="s">
        <v>912</v>
      </c>
      <c r="CU19" s="683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712" t="s">
        <v>943</v>
      </c>
      <c r="FA21" s="712"/>
      <c r="FC21" s="366">
        <f>FC20-FC22</f>
        <v>113457.16899999997</v>
      </c>
      <c r="FD21" s="344"/>
      <c r="FE21" s="713" t="s">
        <v>945</v>
      </c>
      <c r="FF21" s="713"/>
      <c r="FG21" s="713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12" t="s">
        <v>953</v>
      </c>
      <c r="FA22" s="712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712" t="s">
        <v>969</v>
      </c>
      <c r="FA23" s="712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712" t="s">
        <v>979</v>
      </c>
      <c r="FA24" s="712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710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711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710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711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14" bestFit="1" customWidth="1"/>
    <col min="6" max="6" width="11.85546875" style="622" bestFit="1" customWidth="1"/>
    <col min="7" max="7" width="7.42578125" customWidth="1"/>
    <col min="8" max="8" width="74.28515625" customWidth="1"/>
  </cols>
  <sheetData>
    <row r="2" spans="1:8">
      <c r="A2" s="43"/>
      <c r="B2" s="624" t="s">
        <v>1482</v>
      </c>
      <c r="C2" s="9" t="s">
        <v>3347</v>
      </c>
      <c r="D2" s="44" t="s">
        <v>3348</v>
      </c>
      <c r="E2" s="616" t="s">
        <v>3436</v>
      </c>
      <c r="F2" s="616" t="s">
        <v>3446</v>
      </c>
      <c r="G2" s="9" t="s">
        <v>3349</v>
      </c>
      <c r="H2" s="35" t="s">
        <v>3350</v>
      </c>
    </row>
    <row r="3" spans="1:8">
      <c r="A3" s="43"/>
      <c r="B3" s="45" t="s">
        <v>3351</v>
      </c>
      <c r="C3" s="9" t="s">
        <v>3352</v>
      </c>
      <c r="D3" s="9" t="s">
        <v>3353</v>
      </c>
      <c r="E3" s="9" t="s">
        <v>3354</v>
      </c>
      <c r="F3" s="624" t="s">
        <v>3352</v>
      </c>
      <c r="G3" s="45" t="s">
        <v>3354</v>
      </c>
    </row>
    <row r="4" spans="1:8">
      <c r="B4" s="45" t="s">
        <v>3351</v>
      </c>
      <c r="C4" s="45" t="s">
        <v>3355</v>
      </c>
      <c r="D4" s="582" t="s">
        <v>3356</v>
      </c>
      <c r="E4" s="617" t="s">
        <v>3354</v>
      </c>
      <c r="F4" s="623" t="s">
        <v>3352</v>
      </c>
      <c r="G4" s="46" t="s">
        <v>3357</v>
      </c>
      <c r="H4" s="615" t="s">
        <v>3441</v>
      </c>
    </row>
    <row r="5" spans="1:8">
      <c r="B5" s="45" t="s">
        <v>3351</v>
      </c>
      <c r="C5" s="46" t="s">
        <v>3358</v>
      </c>
      <c r="D5" s="45" t="s">
        <v>3359</v>
      </c>
      <c r="E5" s="21" t="s">
        <v>3440</v>
      </c>
      <c r="F5" s="46" t="s">
        <v>3358</v>
      </c>
      <c r="G5" s="9" t="s">
        <v>3440</v>
      </c>
      <c r="H5" t="s">
        <v>3360</v>
      </c>
    </row>
    <row r="6" spans="1:8">
      <c r="B6" s="45"/>
      <c r="C6" s="45"/>
      <c r="D6" s="582"/>
      <c r="E6" s="582"/>
      <c r="F6" s="582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3438</v>
      </c>
      <c r="D9" s="45" t="s">
        <v>3361</v>
      </c>
      <c r="E9" s="21" t="s">
        <v>3437</v>
      </c>
      <c r="F9" s="21" t="s">
        <v>3447</v>
      </c>
      <c r="G9" s="9">
        <v>3.8</v>
      </c>
    </row>
    <row r="10" spans="1:8">
      <c r="B10" s="45"/>
      <c r="C10" s="21" t="s">
        <v>3439</v>
      </c>
      <c r="D10" s="9" t="s">
        <v>3362</v>
      </c>
      <c r="E10" s="9"/>
      <c r="F10" s="624" t="s">
        <v>3455</v>
      </c>
      <c r="G10" s="21" t="s">
        <v>2010</v>
      </c>
    </row>
    <row r="11" spans="1:8">
      <c r="B11" s="45"/>
      <c r="C11" s="9"/>
      <c r="D11" s="9" t="s">
        <v>3362</v>
      </c>
      <c r="E11" s="21" t="s">
        <v>3442</v>
      </c>
      <c r="F11" s="624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K79"/>
  <sheetViews>
    <sheetView tabSelected="1" topLeftCell="ND1" workbookViewId="0">
      <selection activeCell="NL16" sqref="NL16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7" customWidth="1"/>
    <col min="357" max="357" width="8.7109375" style="48" customWidth="1"/>
    <col min="358" max="358" width="23.85546875" style="597" customWidth="1"/>
    <col min="359" max="359" width="8" style="597" bestFit="1" customWidth="1"/>
    <col min="360" max="360" width="18.85546875" style="597" customWidth="1"/>
    <col min="361" max="361" width="10.140625" style="597" customWidth="1"/>
    <col min="362" max="362" width="19.140625" style="643" customWidth="1"/>
    <col min="363" max="363" width="9.140625" style="48" customWidth="1"/>
    <col min="364" max="364" width="20" style="643" bestFit="1" customWidth="1"/>
    <col min="365" max="365" width="8.5703125" style="643" customWidth="1"/>
    <col min="366" max="366" width="18.85546875" style="643" customWidth="1"/>
    <col min="367" max="367" width="10.140625" style="643" customWidth="1"/>
    <col min="368" max="368" width="19.140625" style="667" customWidth="1"/>
    <col min="369" max="369" width="9.140625" style="48" bestFit="1" customWidth="1"/>
    <col min="370" max="370" width="20" style="667" bestFit="1" customWidth="1"/>
    <col min="371" max="371" width="9.140625" style="667" customWidth="1"/>
    <col min="372" max="372" width="18.85546875" style="667" customWidth="1"/>
    <col min="373" max="373" width="10.140625" style="667" customWidth="1"/>
    <col min="374" max="374" width="7.140625" style="48" customWidth="1"/>
    <col min="375" max="375" width="8.28515625" style="667" customWidth="1"/>
    <col min="376" max="16384" width="14.5703125" style="14"/>
  </cols>
  <sheetData>
    <row r="1" spans="1:375">
      <c r="A1" s="715" t="s">
        <v>1017</v>
      </c>
      <c r="B1" s="715"/>
      <c r="C1" s="690" t="s">
        <v>92</v>
      </c>
      <c r="D1" s="691"/>
      <c r="E1" s="692" t="s">
        <v>1018</v>
      </c>
      <c r="F1" s="693"/>
      <c r="G1" s="715" t="s">
        <v>1019</v>
      </c>
      <c r="H1" s="715"/>
      <c r="I1" s="690" t="s">
        <v>92</v>
      </c>
      <c r="J1" s="691"/>
      <c r="K1" s="692" t="s">
        <v>1020</v>
      </c>
      <c r="L1" s="693"/>
      <c r="M1" s="715" t="s">
        <v>1021</v>
      </c>
      <c r="N1" s="715"/>
      <c r="O1" s="690" t="s">
        <v>92</v>
      </c>
      <c r="P1" s="691"/>
      <c r="Q1" s="692" t="s">
        <v>1022</v>
      </c>
      <c r="R1" s="693"/>
      <c r="S1" s="715" t="s">
        <v>1023</v>
      </c>
      <c r="T1" s="715"/>
      <c r="U1" s="690" t="s">
        <v>92</v>
      </c>
      <c r="V1" s="691"/>
      <c r="W1" s="692" t="s">
        <v>577</v>
      </c>
      <c r="X1" s="693"/>
      <c r="Y1" s="715" t="s">
        <v>1024</v>
      </c>
      <c r="Z1" s="715"/>
      <c r="AA1" s="690" t="s">
        <v>92</v>
      </c>
      <c r="AB1" s="691"/>
      <c r="AC1" s="692" t="s">
        <v>1025</v>
      </c>
      <c r="AD1" s="693"/>
      <c r="AE1" s="715" t="s">
        <v>1026</v>
      </c>
      <c r="AF1" s="715"/>
      <c r="AG1" s="690" t="s">
        <v>92</v>
      </c>
      <c r="AH1" s="691"/>
      <c r="AI1" s="692" t="s">
        <v>1027</v>
      </c>
      <c r="AJ1" s="693"/>
      <c r="AK1" s="715" t="s">
        <v>1028</v>
      </c>
      <c r="AL1" s="715"/>
      <c r="AM1" s="690" t="s">
        <v>1029</v>
      </c>
      <c r="AN1" s="691"/>
      <c r="AO1" s="692" t="s">
        <v>1030</v>
      </c>
      <c r="AP1" s="693"/>
      <c r="AQ1" s="715" t="s">
        <v>1031</v>
      </c>
      <c r="AR1" s="715"/>
      <c r="AS1" s="690" t="s">
        <v>1029</v>
      </c>
      <c r="AT1" s="691"/>
      <c r="AU1" s="692" t="s">
        <v>1032</v>
      </c>
      <c r="AV1" s="693"/>
      <c r="AW1" s="715" t="s">
        <v>1033</v>
      </c>
      <c r="AX1" s="715"/>
      <c r="AY1" s="692" t="s">
        <v>1034</v>
      </c>
      <c r="AZ1" s="693"/>
      <c r="BA1" s="715" t="s">
        <v>1033</v>
      </c>
      <c r="BB1" s="715"/>
      <c r="BC1" s="690" t="s">
        <v>594</v>
      </c>
      <c r="BD1" s="691"/>
      <c r="BE1" s="692" t="s">
        <v>1035</v>
      </c>
      <c r="BF1" s="693"/>
      <c r="BG1" s="715" t="s">
        <v>1036</v>
      </c>
      <c r="BH1" s="715"/>
      <c r="BI1" s="690" t="s">
        <v>594</v>
      </c>
      <c r="BJ1" s="691"/>
      <c r="BK1" s="692" t="s">
        <v>1035</v>
      </c>
      <c r="BL1" s="693"/>
      <c r="BM1" s="715" t="s">
        <v>1037</v>
      </c>
      <c r="BN1" s="715"/>
      <c r="BO1" s="690" t="s">
        <v>594</v>
      </c>
      <c r="BP1" s="691"/>
      <c r="BQ1" s="692" t="s">
        <v>1038</v>
      </c>
      <c r="BR1" s="693"/>
      <c r="BS1" s="715" t="s">
        <v>1039</v>
      </c>
      <c r="BT1" s="715"/>
      <c r="BU1" s="690" t="s">
        <v>594</v>
      </c>
      <c r="BV1" s="691"/>
      <c r="BW1" s="692" t="s">
        <v>1040</v>
      </c>
      <c r="BX1" s="693"/>
      <c r="BY1" s="715" t="s">
        <v>1041</v>
      </c>
      <c r="BZ1" s="715"/>
      <c r="CA1" s="690" t="s">
        <v>594</v>
      </c>
      <c r="CB1" s="691"/>
      <c r="CC1" s="692" t="s">
        <v>1038</v>
      </c>
      <c r="CD1" s="693"/>
      <c r="CE1" s="715" t="s">
        <v>1042</v>
      </c>
      <c r="CF1" s="715"/>
      <c r="CG1" s="690" t="s">
        <v>594</v>
      </c>
      <c r="CH1" s="691"/>
      <c r="CI1" s="692" t="s">
        <v>1040</v>
      </c>
      <c r="CJ1" s="693"/>
      <c r="CK1" s="715" t="s">
        <v>1043</v>
      </c>
      <c r="CL1" s="715"/>
      <c r="CM1" s="690" t="s">
        <v>594</v>
      </c>
      <c r="CN1" s="691"/>
      <c r="CO1" s="692" t="s">
        <v>1038</v>
      </c>
      <c r="CP1" s="693"/>
      <c r="CQ1" s="715" t="s">
        <v>1044</v>
      </c>
      <c r="CR1" s="715"/>
      <c r="CS1" s="716" t="s">
        <v>594</v>
      </c>
      <c r="CT1" s="717"/>
      <c r="CU1" s="692" t="s">
        <v>1045</v>
      </c>
      <c r="CV1" s="693"/>
      <c r="CW1" s="715" t="s">
        <v>1046</v>
      </c>
      <c r="CX1" s="715"/>
      <c r="CY1" s="716" t="s">
        <v>594</v>
      </c>
      <c r="CZ1" s="717"/>
      <c r="DA1" s="692" t="s">
        <v>1047</v>
      </c>
      <c r="DB1" s="693"/>
      <c r="DC1" s="715" t="s">
        <v>1048</v>
      </c>
      <c r="DD1" s="715"/>
      <c r="DE1" s="716" t="s">
        <v>594</v>
      </c>
      <c r="DF1" s="717"/>
      <c r="DG1" s="692" t="s">
        <v>1049</v>
      </c>
      <c r="DH1" s="693"/>
      <c r="DI1" s="715" t="s">
        <v>1050</v>
      </c>
      <c r="DJ1" s="715"/>
      <c r="DK1" s="716" t="s">
        <v>594</v>
      </c>
      <c r="DL1" s="717"/>
      <c r="DM1" s="692" t="s">
        <v>1045</v>
      </c>
      <c r="DN1" s="693"/>
      <c r="DO1" s="715" t="s">
        <v>1051</v>
      </c>
      <c r="DP1" s="715"/>
      <c r="DQ1" s="716" t="s">
        <v>594</v>
      </c>
      <c r="DR1" s="717"/>
      <c r="DS1" s="692" t="s">
        <v>1052</v>
      </c>
      <c r="DT1" s="693"/>
      <c r="DU1" s="715" t="s">
        <v>1053</v>
      </c>
      <c r="DV1" s="715"/>
      <c r="DW1" s="716" t="s">
        <v>594</v>
      </c>
      <c r="DX1" s="717"/>
      <c r="DY1" s="692" t="s">
        <v>1054</v>
      </c>
      <c r="DZ1" s="693"/>
      <c r="EA1" s="714" t="s">
        <v>1055</v>
      </c>
      <c r="EB1" s="714"/>
      <c r="EC1" s="716" t="s">
        <v>594</v>
      </c>
      <c r="ED1" s="717"/>
      <c r="EE1" s="692" t="s">
        <v>1052</v>
      </c>
      <c r="EF1" s="693"/>
      <c r="EG1" s="53"/>
      <c r="EH1" s="714" t="s">
        <v>1056</v>
      </c>
      <c r="EI1" s="714"/>
      <c r="EJ1" s="716" t="s">
        <v>594</v>
      </c>
      <c r="EK1" s="717"/>
      <c r="EL1" s="692" t="s">
        <v>1057</v>
      </c>
      <c r="EM1" s="693"/>
      <c r="EN1" s="714" t="s">
        <v>1058</v>
      </c>
      <c r="EO1" s="714"/>
      <c r="EP1" s="716" t="s">
        <v>594</v>
      </c>
      <c r="EQ1" s="717"/>
      <c r="ER1" s="692" t="s">
        <v>1059</v>
      </c>
      <c r="ES1" s="693"/>
      <c r="ET1" s="714" t="s">
        <v>1060</v>
      </c>
      <c r="EU1" s="714"/>
      <c r="EV1" s="716" t="s">
        <v>594</v>
      </c>
      <c r="EW1" s="717"/>
      <c r="EX1" s="692" t="s">
        <v>1054</v>
      </c>
      <c r="EY1" s="693"/>
      <c r="EZ1" s="714" t="s">
        <v>1061</v>
      </c>
      <c r="FA1" s="714"/>
      <c r="FB1" s="716" t="s">
        <v>594</v>
      </c>
      <c r="FC1" s="717"/>
      <c r="FD1" s="692" t="s">
        <v>1047</v>
      </c>
      <c r="FE1" s="693"/>
      <c r="FF1" s="714" t="s">
        <v>1062</v>
      </c>
      <c r="FG1" s="714"/>
      <c r="FH1" s="716" t="s">
        <v>594</v>
      </c>
      <c r="FI1" s="717"/>
      <c r="FJ1" s="692" t="s">
        <v>1045</v>
      </c>
      <c r="FK1" s="693"/>
      <c r="FL1" s="714" t="s">
        <v>1063</v>
      </c>
      <c r="FM1" s="714"/>
      <c r="FN1" s="716" t="s">
        <v>594</v>
      </c>
      <c r="FO1" s="717"/>
      <c r="FP1" s="692" t="s">
        <v>1064</v>
      </c>
      <c r="FQ1" s="693"/>
      <c r="FR1" s="714" t="s">
        <v>1065</v>
      </c>
      <c r="FS1" s="714"/>
      <c r="FT1" s="716" t="s">
        <v>594</v>
      </c>
      <c r="FU1" s="717"/>
      <c r="FV1" s="692" t="s">
        <v>1064</v>
      </c>
      <c r="FW1" s="693"/>
      <c r="FX1" s="714" t="s">
        <v>1066</v>
      </c>
      <c r="FY1" s="714"/>
      <c r="FZ1" s="716" t="s">
        <v>594</v>
      </c>
      <c r="GA1" s="717"/>
      <c r="GB1" s="692" t="s">
        <v>1054</v>
      </c>
      <c r="GC1" s="693"/>
      <c r="GD1" s="714" t="s">
        <v>1067</v>
      </c>
      <c r="GE1" s="714"/>
      <c r="GF1" s="716" t="s">
        <v>594</v>
      </c>
      <c r="GG1" s="717"/>
      <c r="GH1" s="692" t="s">
        <v>1052</v>
      </c>
      <c r="GI1" s="693"/>
      <c r="GJ1" s="714" t="s">
        <v>1068</v>
      </c>
      <c r="GK1" s="714"/>
      <c r="GL1" s="716" t="s">
        <v>594</v>
      </c>
      <c r="GM1" s="717"/>
      <c r="GN1" s="692" t="s">
        <v>1052</v>
      </c>
      <c r="GO1" s="693"/>
      <c r="GP1" s="714" t="s">
        <v>1069</v>
      </c>
      <c r="GQ1" s="714"/>
      <c r="GR1" s="716" t="s">
        <v>594</v>
      </c>
      <c r="GS1" s="717"/>
      <c r="GT1" s="692" t="s">
        <v>1057</v>
      </c>
      <c r="GU1" s="693"/>
      <c r="GV1" s="714" t="s">
        <v>1070</v>
      </c>
      <c r="GW1" s="714"/>
      <c r="GX1" s="716" t="s">
        <v>594</v>
      </c>
      <c r="GY1" s="717"/>
      <c r="GZ1" s="692" t="s">
        <v>1071</v>
      </c>
      <c r="HA1" s="693"/>
      <c r="HB1" s="714" t="s">
        <v>1072</v>
      </c>
      <c r="HC1" s="714"/>
      <c r="HD1" s="716" t="s">
        <v>594</v>
      </c>
      <c r="HE1" s="717"/>
      <c r="HF1" s="692" t="s">
        <v>1059</v>
      </c>
      <c r="HG1" s="693"/>
      <c r="HH1" s="714" t="s">
        <v>1073</v>
      </c>
      <c r="HI1" s="714"/>
      <c r="HJ1" s="716" t="s">
        <v>594</v>
      </c>
      <c r="HK1" s="717"/>
      <c r="HL1" s="692" t="s">
        <v>1045</v>
      </c>
      <c r="HM1" s="693"/>
      <c r="HN1" s="714" t="s">
        <v>1074</v>
      </c>
      <c r="HO1" s="714"/>
      <c r="HP1" s="716" t="s">
        <v>594</v>
      </c>
      <c r="HQ1" s="717"/>
      <c r="HR1" s="692" t="s">
        <v>1045</v>
      </c>
      <c r="HS1" s="693"/>
      <c r="HT1" s="714" t="s">
        <v>1075</v>
      </c>
      <c r="HU1" s="714"/>
      <c r="HV1" s="716" t="s">
        <v>594</v>
      </c>
      <c r="HW1" s="717"/>
      <c r="HX1" s="692" t="s">
        <v>1054</v>
      </c>
      <c r="HY1" s="693"/>
      <c r="HZ1" s="714" t="s">
        <v>1076</v>
      </c>
      <c r="IA1" s="714"/>
      <c r="IB1" s="716" t="s">
        <v>594</v>
      </c>
      <c r="IC1" s="717"/>
      <c r="ID1" s="692" t="s">
        <v>1059</v>
      </c>
      <c r="IE1" s="693"/>
      <c r="IF1" s="714" t="s">
        <v>1077</v>
      </c>
      <c r="IG1" s="714"/>
      <c r="IH1" s="716" t="s">
        <v>594</v>
      </c>
      <c r="II1" s="717"/>
      <c r="IJ1" s="692" t="s">
        <v>1052</v>
      </c>
      <c r="IK1" s="693"/>
      <c r="IL1" s="714" t="s">
        <v>1078</v>
      </c>
      <c r="IM1" s="714"/>
      <c r="IN1" s="716" t="s">
        <v>594</v>
      </c>
      <c r="IO1" s="717"/>
      <c r="IP1" s="692" t="s">
        <v>1054</v>
      </c>
      <c r="IQ1" s="693"/>
      <c r="IR1" s="714" t="s">
        <v>1079</v>
      </c>
      <c r="IS1" s="714"/>
      <c r="IT1" s="716" t="s">
        <v>594</v>
      </c>
      <c r="IU1" s="717"/>
      <c r="IV1" s="692" t="s">
        <v>1080</v>
      </c>
      <c r="IW1" s="693"/>
      <c r="IX1" s="714" t="s">
        <v>1081</v>
      </c>
      <c r="IY1" s="714"/>
      <c r="IZ1" s="716" t="s">
        <v>594</v>
      </c>
      <c r="JA1" s="717"/>
      <c r="JB1" s="692" t="s">
        <v>1064</v>
      </c>
      <c r="JC1" s="693"/>
      <c r="JD1" s="714" t="s">
        <v>1082</v>
      </c>
      <c r="JE1" s="714"/>
      <c r="JF1" s="716" t="s">
        <v>594</v>
      </c>
      <c r="JG1" s="717"/>
      <c r="JH1" s="692" t="s">
        <v>1080</v>
      </c>
      <c r="JI1" s="693"/>
      <c r="JJ1" s="714" t="s">
        <v>1083</v>
      </c>
      <c r="JK1" s="714"/>
      <c r="JL1" s="578" t="s">
        <v>594</v>
      </c>
      <c r="JM1" s="110"/>
      <c r="JN1" s="544" t="s">
        <v>1080</v>
      </c>
      <c r="JO1" s="53"/>
      <c r="JP1" s="714" t="s">
        <v>1084</v>
      </c>
      <c r="JQ1" s="714"/>
      <c r="JR1" s="578" t="s">
        <v>594</v>
      </c>
      <c r="JS1" s="110"/>
      <c r="JT1" s="544" t="s">
        <v>1057</v>
      </c>
      <c r="JU1" s="53"/>
      <c r="JV1" s="714" t="s">
        <v>1085</v>
      </c>
      <c r="JW1" s="714"/>
      <c r="JX1" s="578" t="s">
        <v>594</v>
      </c>
      <c r="JY1" s="110"/>
      <c r="JZ1" s="544" t="s">
        <v>1086</v>
      </c>
      <c r="KA1" s="53"/>
      <c r="KB1" s="714" t="s">
        <v>1087</v>
      </c>
      <c r="KC1" s="714"/>
      <c r="KD1" s="578" t="s">
        <v>594</v>
      </c>
      <c r="KE1" s="110"/>
      <c r="KF1" s="544" t="s">
        <v>1045</v>
      </c>
      <c r="KG1" s="53"/>
      <c r="KH1" s="714" t="s">
        <v>1088</v>
      </c>
      <c r="KI1" s="714"/>
      <c r="KJ1" s="578" t="s">
        <v>594</v>
      </c>
      <c r="KK1" s="110"/>
      <c r="KL1" s="544" t="s">
        <v>1052</v>
      </c>
      <c r="KM1" s="53"/>
      <c r="KN1" s="714" t="s">
        <v>1089</v>
      </c>
      <c r="KO1" s="714"/>
      <c r="KP1" s="578" t="s">
        <v>594</v>
      </c>
      <c r="KQ1" s="110"/>
      <c r="KR1" s="544" t="s">
        <v>1052</v>
      </c>
      <c r="KS1" s="53"/>
      <c r="KT1" s="714" t="s">
        <v>1090</v>
      </c>
      <c r="KU1" s="714"/>
      <c r="KV1" s="578" t="s">
        <v>594</v>
      </c>
      <c r="KW1" s="110"/>
      <c r="KX1" s="544" t="s">
        <v>1052</v>
      </c>
      <c r="KY1" s="53"/>
      <c r="KZ1" s="714" t="s">
        <v>1091</v>
      </c>
      <c r="LA1" s="714"/>
      <c r="LB1" s="578" t="s">
        <v>594</v>
      </c>
      <c r="LC1" s="110"/>
      <c r="LD1" s="544" t="s">
        <v>1080</v>
      </c>
      <c r="LE1" s="53"/>
      <c r="LF1" s="714" t="s">
        <v>1092</v>
      </c>
      <c r="LG1" s="714"/>
      <c r="LH1" s="578" t="s">
        <v>594</v>
      </c>
      <c r="LI1" s="110"/>
      <c r="LJ1" s="544" t="s">
        <v>1080</v>
      </c>
      <c r="LK1" s="53"/>
      <c r="LL1" s="714" t="s">
        <v>1093</v>
      </c>
      <c r="LM1" s="714"/>
      <c r="LN1" s="578" t="s">
        <v>594</v>
      </c>
      <c r="LO1" s="308"/>
      <c r="LP1" s="544" t="s">
        <v>1080</v>
      </c>
      <c r="LQ1" s="53"/>
      <c r="LR1" s="714" t="s">
        <v>1094</v>
      </c>
      <c r="LS1" s="714"/>
      <c r="LT1" s="578" t="s">
        <v>594</v>
      </c>
      <c r="LU1" s="308"/>
      <c r="LV1" s="544" t="s">
        <v>1064</v>
      </c>
      <c r="LW1" s="53"/>
      <c r="LX1" s="714" t="s">
        <v>1095</v>
      </c>
      <c r="LY1" s="714"/>
      <c r="LZ1" s="578" t="s">
        <v>594</v>
      </c>
      <c r="MA1" s="308"/>
      <c r="MB1" s="544" t="s">
        <v>1080</v>
      </c>
      <c r="MC1" s="53"/>
      <c r="MD1" s="718" t="s">
        <v>1096</v>
      </c>
      <c r="ME1" s="714"/>
      <c r="MF1" s="578" t="s">
        <v>594</v>
      </c>
      <c r="MG1" s="308"/>
      <c r="MH1" s="544" t="s">
        <v>1080</v>
      </c>
      <c r="MI1" s="53"/>
      <c r="MJ1" s="718" t="s">
        <v>1097</v>
      </c>
      <c r="MK1" s="714"/>
      <c r="ML1" s="578" t="s">
        <v>594</v>
      </c>
      <c r="MM1" s="308"/>
      <c r="MN1" s="544" t="s">
        <v>1080</v>
      </c>
      <c r="MO1" s="53"/>
      <c r="MP1" s="714" t="s">
        <v>3426</v>
      </c>
      <c r="MQ1" s="714"/>
      <c r="MR1" s="595" t="s">
        <v>594</v>
      </c>
      <c r="MS1" s="308"/>
      <c r="MT1" s="592" t="s">
        <v>1080</v>
      </c>
      <c r="MU1" s="593"/>
      <c r="MV1" s="714" t="s">
        <v>3473</v>
      </c>
      <c r="MW1" s="714"/>
      <c r="MX1" s="641" t="s">
        <v>594</v>
      </c>
      <c r="MY1" s="308"/>
      <c r="MZ1" s="638" t="s">
        <v>1080</v>
      </c>
      <c r="NA1" s="639"/>
      <c r="NB1" s="714" t="s">
        <v>3538</v>
      </c>
      <c r="NC1" s="714"/>
      <c r="ND1" s="670" t="s">
        <v>594</v>
      </c>
      <c r="NE1" s="308"/>
      <c r="NF1" s="660" t="s">
        <v>1080</v>
      </c>
      <c r="NG1" s="661"/>
      <c r="NH1" s="714" t="s">
        <v>3479</v>
      </c>
      <c r="NI1" s="714"/>
    </row>
    <row r="2" spans="1:375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11198.101000000024</v>
      </c>
      <c r="MP2" s="14" t="s">
        <v>1108</v>
      </c>
      <c r="MQ2" s="50">
        <f>SUM(MQ7:MQ38)</f>
        <v>318462</v>
      </c>
      <c r="MR2" s="597" t="s">
        <v>1104</v>
      </c>
      <c r="MS2" s="254">
        <f>SUM(MS4:MS31)</f>
        <v>27767.351000000006</v>
      </c>
      <c r="MT2" s="75" t="s">
        <v>116</v>
      </c>
      <c r="MU2" s="318">
        <f>MS2+MQ2-MW2</f>
        <v>19307.350000000035</v>
      </c>
      <c r="MV2" s="597" t="s">
        <v>1108</v>
      </c>
      <c r="MW2" s="50">
        <f>SUM(MW6:MW36)</f>
        <v>326922.00099999999</v>
      </c>
      <c r="MX2" s="643" t="s">
        <v>1104</v>
      </c>
      <c r="MY2" s="254">
        <f>SUM(MY4:MY27)</f>
        <v>20893.790999999997</v>
      </c>
      <c r="MZ2" s="75" t="s">
        <v>116</v>
      </c>
      <c r="NA2" s="318">
        <f>MY2+MW2-NC2</f>
        <v>5332.9920000000275</v>
      </c>
      <c r="NB2" s="643" t="s">
        <v>1108</v>
      </c>
      <c r="NC2" s="50">
        <f>SUM(NC8:NC33)</f>
        <v>342482.8</v>
      </c>
      <c r="ND2" s="667" t="s">
        <v>1104</v>
      </c>
      <c r="NE2" s="254">
        <f>SUM(NE4:NE31)</f>
        <v>5588.2</v>
      </c>
      <c r="NF2" s="75" t="s">
        <v>116</v>
      </c>
      <c r="NG2" s="318">
        <f>NE2+NC2-NI2</f>
        <v>463.20000000001164</v>
      </c>
      <c r="NH2" s="667" t="s">
        <v>1108</v>
      </c>
      <c r="NI2" s="50">
        <f>SUM(NI9:NI38)</f>
        <v>347607.8</v>
      </c>
    </row>
    <row r="3" spans="1:375">
      <c r="A3" s="736" t="s">
        <v>1109</v>
      </c>
      <c r="B3" s="736"/>
      <c r="E3" s="58" t="s">
        <v>123</v>
      </c>
      <c r="F3" s="57">
        <f>F2-F4</f>
        <v>17</v>
      </c>
      <c r="G3" s="736" t="s">
        <v>1109</v>
      </c>
      <c r="H3" s="736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7737.9710000000241</v>
      </c>
      <c r="MP3" s="14" t="s">
        <v>1134</v>
      </c>
      <c r="MQ3" s="50">
        <f>SUM(MQ12:MQ13)</f>
        <v>-181579</v>
      </c>
      <c r="MS3" s="254"/>
      <c r="MT3" s="597" t="s">
        <v>3484</v>
      </c>
      <c r="MU3" s="96">
        <f>MU2-MS34-MS33</f>
        <v>4710.650000000036</v>
      </c>
      <c r="MV3" s="597" t="s">
        <v>1134</v>
      </c>
      <c r="MW3" s="50">
        <f>SUM(MW12:MW13)</f>
        <v>-176810</v>
      </c>
      <c r="MY3" s="254"/>
      <c r="MZ3" s="650" t="s">
        <v>3484</v>
      </c>
      <c r="NA3" s="96">
        <f>NA2-MY30-MY29</f>
        <v>3432.9020000000273</v>
      </c>
      <c r="NB3" s="643" t="s">
        <v>3510</v>
      </c>
      <c r="NC3" s="643" t="s">
        <v>3511</v>
      </c>
      <c r="NE3" s="254"/>
      <c r="NF3" s="667" t="s">
        <v>3484</v>
      </c>
      <c r="NG3" s="96">
        <f>NG2-NE33-NE32</f>
        <v>463.20000000001164</v>
      </c>
      <c r="NH3" s="667" t="s">
        <v>3510</v>
      </c>
      <c r="NI3" s="667" t="s">
        <v>3511</v>
      </c>
    </row>
    <row r="4" spans="1:375" ht="12.75" customHeight="1" thickBot="1">
      <c r="A4" s="736"/>
      <c r="B4" s="736"/>
      <c r="E4" s="58" t="s">
        <v>134</v>
      </c>
      <c r="F4" s="57">
        <f>SUM(F14:F57)</f>
        <v>12750</v>
      </c>
      <c r="G4" s="736"/>
      <c r="H4" s="736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20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3410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3410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3410</v>
      </c>
      <c r="MI4" s="621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3410</v>
      </c>
      <c r="MO4" s="334">
        <f>MO2-MO5</f>
        <v>-0.11899999997694977</v>
      </c>
      <c r="MP4" s="297"/>
      <c r="MQ4" s="298"/>
      <c r="MR4" s="597" t="s">
        <v>1131</v>
      </c>
      <c r="MS4" s="124">
        <v>18611.73</v>
      </c>
      <c r="MT4" s="597" t="s">
        <v>3483</v>
      </c>
      <c r="MU4" s="334">
        <f>MU2-MU5</f>
        <v>0.45000000003710738</v>
      </c>
      <c r="MV4" s="39">
        <v>5000</v>
      </c>
      <c r="MW4" s="40">
        <v>45524</v>
      </c>
      <c r="MX4" s="643" t="s">
        <v>1131</v>
      </c>
      <c r="MY4" s="124">
        <v>18611.73</v>
      </c>
      <c r="MZ4" s="650" t="s">
        <v>3483</v>
      </c>
      <c r="NA4" s="334">
        <f>NA2-NA5</f>
        <v>9.1000000026724592E-2</v>
      </c>
      <c r="NB4" s="297">
        <v>5000</v>
      </c>
      <c r="NC4" s="298">
        <v>45538</v>
      </c>
      <c r="ND4" s="667" t="s">
        <v>1131</v>
      </c>
      <c r="NE4" s="124"/>
      <c r="NF4" s="667" t="s">
        <v>3483</v>
      </c>
      <c r="NG4" s="334">
        <f>NG2-NG5</f>
        <v>0.25000000001159606</v>
      </c>
      <c r="NH4" s="297"/>
      <c r="NI4" s="298"/>
      <c r="NK4" s="154"/>
    </row>
    <row r="5" spans="1:375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20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89" t="s">
        <v>1148</v>
      </c>
      <c r="MM5" s="124">
        <v>-200</v>
      </c>
      <c r="MN5" s="14" t="s">
        <v>134</v>
      </c>
      <c r="MO5" s="96">
        <f>SUM(MO6:MO50)</f>
        <v>11198.220000000001</v>
      </c>
      <c r="MP5" s="39">
        <v>5000</v>
      </c>
      <c r="MQ5" s="40">
        <v>45482</v>
      </c>
      <c r="MR5" s="589" t="s">
        <v>1148</v>
      </c>
      <c r="MS5" s="124">
        <v>-200</v>
      </c>
      <c r="MT5" s="597" t="s">
        <v>134</v>
      </c>
      <c r="MU5" s="96">
        <f>SUM(MU6:MU47)</f>
        <v>19306.899999999998</v>
      </c>
      <c r="MV5" s="39">
        <v>5000</v>
      </c>
      <c r="MW5" s="40">
        <v>45538</v>
      </c>
      <c r="MX5" s="589" t="s">
        <v>1148</v>
      </c>
      <c r="MY5" s="124">
        <v>-200</v>
      </c>
      <c r="MZ5" s="643" t="s">
        <v>134</v>
      </c>
      <c r="NA5" s="96">
        <f>SUM(NA6:NA42)</f>
        <v>5332.9010000000007</v>
      </c>
      <c r="NB5" s="39">
        <v>12000</v>
      </c>
      <c r="NC5" s="40">
        <v>45552</v>
      </c>
      <c r="ND5" s="589" t="s">
        <v>1148</v>
      </c>
      <c r="NE5" s="124"/>
      <c r="NF5" s="667" t="s">
        <v>134</v>
      </c>
      <c r="NG5" s="96">
        <f>SUM(NG6:NG45)</f>
        <v>462.95000000000005</v>
      </c>
      <c r="NH5" s="39">
        <v>12000</v>
      </c>
      <c r="NI5" s="40">
        <v>45552</v>
      </c>
      <c r="NK5" s="154"/>
    </row>
    <row r="6" spans="1:375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89" t="s">
        <v>3482</v>
      </c>
      <c r="MS6" s="629"/>
      <c r="MT6" s="119" t="s">
        <v>1281</v>
      </c>
      <c r="MU6" s="48">
        <v>1900.08</v>
      </c>
      <c r="MV6" s="39" t="s">
        <v>1187</v>
      </c>
      <c r="MW6" s="324">
        <v>99000</v>
      </c>
      <c r="MX6" s="589" t="s">
        <v>3500</v>
      </c>
      <c r="MY6" s="124">
        <v>1.42</v>
      </c>
      <c r="MZ6" s="119" t="s">
        <v>1281</v>
      </c>
      <c r="NA6" s="48">
        <v>1900.09</v>
      </c>
      <c r="NB6" s="39">
        <v>14000</v>
      </c>
      <c r="NC6" s="40">
        <v>45566</v>
      </c>
      <c r="ND6" s="589" t="s">
        <v>3568</v>
      </c>
      <c r="NE6" s="124">
        <v>1593.84</v>
      </c>
      <c r="NF6" s="119" t="s">
        <v>1281</v>
      </c>
      <c r="NG6" s="48"/>
      <c r="NH6" s="39">
        <v>14000</v>
      </c>
      <c r="NI6" s="40">
        <v>45566</v>
      </c>
      <c r="NK6" s="154"/>
    </row>
    <row r="7" spans="1:375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2" t="s">
        <v>3433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19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89" t="s">
        <v>3457</v>
      </c>
      <c r="MS7" s="629">
        <v>3.99</v>
      </c>
      <c r="MT7" s="119" t="s">
        <v>3465</v>
      </c>
      <c r="MU7" s="48">
        <v>460</v>
      </c>
      <c r="MV7" s="260" t="s">
        <v>1231</v>
      </c>
      <c r="MW7" s="299">
        <v>0</v>
      </c>
      <c r="MX7" s="589" t="s">
        <v>3532</v>
      </c>
      <c r="MY7" s="124">
        <v>42.6</v>
      </c>
      <c r="MZ7" s="123" t="s">
        <v>3545</v>
      </c>
      <c r="NA7" s="657">
        <v>46.85</v>
      </c>
      <c r="NB7" s="39">
        <v>8000</v>
      </c>
      <c r="NC7" s="40">
        <v>45580</v>
      </c>
      <c r="ND7" s="671" t="s">
        <v>3553</v>
      </c>
      <c r="NE7" s="48">
        <v>3960.9</v>
      </c>
      <c r="NF7" s="162" t="s">
        <v>1544</v>
      </c>
      <c r="NH7" s="39">
        <v>8000</v>
      </c>
      <c r="NI7" s="40">
        <v>45580</v>
      </c>
      <c r="NK7" s="636"/>
    </row>
    <row r="8" spans="1:375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2" t="s">
        <v>3434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27" t="s">
        <v>3450</v>
      </c>
      <c r="MM8" s="254">
        <f>1.8+69.6</f>
        <v>71.399999999999991</v>
      </c>
      <c r="MN8" s="119" t="s">
        <v>3432</v>
      </c>
      <c r="MO8" s="48">
        <v>1000.06</v>
      </c>
      <c r="MP8" s="260" t="s">
        <v>1231</v>
      </c>
      <c r="MQ8" s="299">
        <v>0</v>
      </c>
      <c r="MR8" s="589" t="s">
        <v>3466</v>
      </c>
      <c r="MS8" s="124">
        <v>5684</v>
      </c>
      <c r="MT8" s="119" t="s">
        <v>3471</v>
      </c>
      <c r="MU8" s="48">
        <v>2000</v>
      </c>
      <c r="MV8" s="601" t="s">
        <v>1278</v>
      </c>
      <c r="MW8" s="238">
        <v>50000</v>
      </c>
      <c r="MX8" s="589"/>
      <c r="MY8" s="124"/>
      <c r="MZ8" s="123" t="s">
        <v>3546</v>
      </c>
      <c r="NA8" s="658">
        <v>30.68</v>
      </c>
      <c r="NB8" s="39" t="s">
        <v>1187</v>
      </c>
      <c r="NC8" s="324">
        <v>94000</v>
      </c>
      <c r="ND8" s="674"/>
      <c r="NF8" s="603" t="s">
        <v>3427</v>
      </c>
      <c r="NH8" s="39">
        <v>5000</v>
      </c>
      <c r="NI8" s="40">
        <v>45594</v>
      </c>
      <c r="NK8" s="154"/>
    </row>
    <row r="9" spans="1:375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27" t="s">
        <v>3450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27" t="s">
        <v>3450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89"/>
      <c r="MS9" s="124"/>
      <c r="MT9" s="162" t="s">
        <v>1277</v>
      </c>
      <c r="MU9" s="48">
        <f>1000+500</f>
        <v>1500</v>
      </c>
      <c r="MV9" s="601" t="s">
        <v>1326</v>
      </c>
      <c r="MW9" s="238">
        <v>50000</v>
      </c>
      <c r="MX9" s="643" t="s">
        <v>1268</v>
      </c>
      <c r="MY9" s="254"/>
      <c r="MZ9" s="123" t="s">
        <v>3513</v>
      </c>
      <c r="NA9" s="48">
        <v>59.57</v>
      </c>
      <c r="NB9" s="260" t="s">
        <v>1231</v>
      </c>
      <c r="NC9" s="299">
        <v>0</v>
      </c>
      <c r="ND9" s="667" t="s">
        <v>1268</v>
      </c>
      <c r="NE9" s="254"/>
      <c r="NF9" s="152" t="s">
        <v>3550</v>
      </c>
      <c r="NG9" s="48"/>
      <c r="NH9" s="41" t="s">
        <v>1187</v>
      </c>
      <c r="NI9" s="299">
        <v>89000</v>
      </c>
      <c r="NK9" s="154"/>
    </row>
    <row r="10" spans="1:375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90" t="s">
        <v>646</v>
      </c>
      <c r="MN10" s="591" t="s">
        <v>3425</v>
      </c>
      <c r="MO10" s="609">
        <v>1476</v>
      </c>
      <c r="MP10" s="68" t="s">
        <v>1326</v>
      </c>
      <c r="MQ10" s="238">
        <v>150000</v>
      </c>
      <c r="MR10" s="597" t="s">
        <v>1268</v>
      </c>
      <c r="MS10" s="254"/>
      <c r="MT10" s="162" t="s">
        <v>3522</v>
      </c>
      <c r="MU10" s="62">
        <v>736.62</v>
      </c>
      <c r="MV10" s="625" t="s">
        <v>3446</v>
      </c>
      <c r="MW10" s="50">
        <f>10000+20000</f>
        <v>30000</v>
      </c>
      <c r="MX10" s="643" t="s">
        <v>3450</v>
      </c>
      <c r="MY10" s="254">
        <f>69.7+0.6</f>
        <v>70.3</v>
      </c>
      <c r="MZ10" s="152" t="s">
        <v>3524</v>
      </c>
      <c r="NA10" s="48">
        <v>39.6</v>
      </c>
      <c r="NB10" s="647" t="s">
        <v>1220</v>
      </c>
      <c r="NC10" s="50">
        <v>-4000</v>
      </c>
      <c r="ND10" s="667" t="s">
        <v>3450</v>
      </c>
      <c r="NE10" s="254"/>
      <c r="NF10" s="152" t="s">
        <v>3551</v>
      </c>
      <c r="NG10" s="48">
        <v>200</v>
      </c>
      <c r="NH10" s="668" t="s">
        <v>1220</v>
      </c>
      <c r="NI10" s="50">
        <v>-4000</v>
      </c>
      <c r="NJ10" s="336"/>
      <c r="NK10" s="630"/>
    </row>
    <row r="11" spans="1:375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3423</v>
      </c>
      <c r="MO11" s="61">
        <v>140.49</v>
      </c>
      <c r="MP11" s="68" t="s">
        <v>1379</v>
      </c>
      <c r="MQ11" s="50">
        <v>50000</v>
      </c>
      <c r="MR11" s="597" t="s">
        <v>3450</v>
      </c>
      <c r="MS11" s="254">
        <v>62.000999999999998</v>
      </c>
      <c r="MT11" s="162" t="s">
        <v>3472</v>
      </c>
      <c r="MU11" s="48">
        <v>8000</v>
      </c>
      <c r="MV11" s="601" t="s">
        <v>3463</v>
      </c>
      <c r="MW11" s="50">
        <v>30000</v>
      </c>
      <c r="MX11" s="325" t="s">
        <v>1381</v>
      </c>
      <c r="MY11" s="254" t="s">
        <v>646</v>
      </c>
      <c r="MZ11" s="152" t="s">
        <v>3503</v>
      </c>
      <c r="NA11" s="51">
        <v>10.9</v>
      </c>
      <c r="NB11" s="649" t="s">
        <v>3527</v>
      </c>
      <c r="NC11" s="99">
        <v>-92000</v>
      </c>
      <c r="ND11" s="325" t="s">
        <v>1381</v>
      </c>
      <c r="NE11" s="254"/>
      <c r="NF11" s="152" t="s">
        <v>2531</v>
      </c>
      <c r="NG11" s="48"/>
      <c r="NH11" s="662" t="s">
        <v>3527</v>
      </c>
      <c r="NI11" s="99">
        <v>-92000</v>
      </c>
      <c r="NJ11" s="24">
        <v>45533</v>
      </c>
      <c r="NK11" s="239"/>
    </row>
    <row r="12" spans="1:375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3420</v>
      </c>
      <c r="MO12" s="62">
        <v>191.77</v>
      </c>
      <c r="MP12" s="14" t="s">
        <v>1276</v>
      </c>
      <c r="MQ12" s="50">
        <v>-64979</v>
      </c>
      <c r="MR12" s="598"/>
      <c r="MS12" s="254"/>
      <c r="MT12" s="123" t="s">
        <v>3469</v>
      </c>
      <c r="MU12" s="61">
        <v>133.52000000000001</v>
      </c>
      <c r="MV12" s="603" t="s">
        <v>3443</v>
      </c>
      <c r="MW12" s="50">
        <v>-63810</v>
      </c>
      <c r="MX12" s="644" t="s">
        <v>1438</v>
      </c>
      <c r="MY12" s="590">
        <v>2.0009999999999999</v>
      </c>
      <c r="MZ12" s="152" t="s">
        <v>1547</v>
      </c>
      <c r="NA12" s="48">
        <f>5</f>
        <v>5</v>
      </c>
      <c r="NB12" s="647" t="s">
        <v>3512</v>
      </c>
      <c r="NC12" s="50">
        <v>30000</v>
      </c>
      <c r="ND12" s="664" t="s">
        <v>1438</v>
      </c>
      <c r="NE12" s="590"/>
      <c r="NF12" s="152" t="s">
        <v>3549</v>
      </c>
      <c r="NG12" s="51">
        <f>91.72</f>
        <v>91.72</v>
      </c>
      <c r="NH12" s="668" t="s">
        <v>3512</v>
      </c>
      <c r="NI12" s="50">
        <v>30000</v>
      </c>
      <c r="NJ12" s="24"/>
      <c r="NK12" s="631"/>
    </row>
    <row r="13" spans="1:375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27" t="s">
        <v>3450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7" t="s">
        <v>1548</v>
      </c>
      <c r="MS13" s="254"/>
      <c r="MT13" s="123" t="s">
        <v>3468</v>
      </c>
      <c r="MU13" s="62">
        <v>180.46</v>
      </c>
      <c r="MV13" s="603" t="s">
        <v>3444</v>
      </c>
      <c r="MW13" s="50">
        <v>-113000</v>
      </c>
      <c r="MX13" s="643" t="s">
        <v>1548</v>
      </c>
      <c r="MY13" s="254"/>
      <c r="MZ13" s="152" t="s">
        <v>1612</v>
      </c>
      <c r="NA13" s="48">
        <f>13.57+9+9</f>
        <v>31.57</v>
      </c>
      <c r="NB13" s="603" t="s">
        <v>3443</v>
      </c>
      <c r="NC13" s="586" t="s">
        <v>1952</v>
      </c>
      <c r="ND13" s="664"/>
      <c r="NE13" s="254"/>
      <c r="NF13" s="152" t="s">
        <v>1547</v>
      </c>
      <c r="NG13" s="48"/>
      <c r="NH13" s="668" t="s">
        <v>3525</v>
      </c>
      <c r="NI13" s="50">
        <v>211005</v>
      </c>
      <c r="NJ13" s="611" t="s">
        <v>3569</v>
      </c>
      <c r="NK13" s="154"/>
    </row>
    <row r="14" spans="1:375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19" t="s">
        <v>1631</v>
      </c>
      <c r="DP14" s="720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14" t="s">
        <v>1649</v>
      </c>
      <c r="HK14" s="714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1613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33" t="s">
        <v>3458</v>
      </c>
      <c r="MS14" s="254">
        <v>132.44999999999999</v>
      </c>
      <c r="MT14" s="152" t="s">
        <v>1678</v>
      </c>
      <c r="MU14" s="48">
        <v>73.400000000000006</v>
      </c>
      <c r="MV14" s="601" t="s">
        <v>1220</v>
      </c>
      <c r="MW14" s="50">
        <v>-4000</v>
      </c>
      <c r="MX14" s="645" t="s">
        <v>3454</v>
      </c>
      <c r="MY14" s="254">
        <f>212.33+76.44+42.47</f>
        <v>331.24</v>
      </c>
      <c r="MZ14" s="152" t="s">
        <v>1675</v>
      </c>
      <c r="NA14" s="48">
        <f>18.83+10+14.95+10+10+13.86+15.08+17.6</f>
        <v>110.32</v>
      </c>
      <c r="NB14" s="603" t="s">
        <v>3444</v>
      </c>
      <c r="NC14" s="586" t="s">
        <v>1952</v>
      </c>
      <c r="ND14" s="667" t="s">
        <v>1548</v>
      </c>
      <c r="NE14" s="254"/>
      <c r="NF14" s="152" t="s">
        <v>1612</v>
      </c>
      <c r="NG14" s="48"/>
      <c r="NH14" s="668" t="s">
        <v>3562</v>
      </c>
      <c r="NI14" s="50">
        <v>100077</v>
      </c>
      <c r="NJ14" s="611">
        <v>45538</v>
      </c>
      <c r="NK14" s="50"/>
    </row>
    <row r="15" spans="1:375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21" t="s">
        <v>1605</v>
      </c>
      <c r="KE15" s="721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1985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33" t="s">
        <v>3459</v>
      </c>
      <c r="MS15" s="254">
        <v>118.69</v>
      </c>
      <c r="MT15" s="152" t="s">
        <v>1487</v>
      </c>
      <c r="MU15" s="51">
        <f>153.26+10.9</f>
        <v>164.16</v>
      </c>
      <c r="MV15" s="599" t="s">
        <v>3493</v>
      </c>
      <c r="MW15" s="99">
        <v>-92000</v>
      </c>
      <c r="MX15" s="49" t="s">
        <v>3498</v>
      </c>
      <c r="MY15" s="48">
        <f>34.21+0.66</f>
        <v>34.869999999999997</v>
      </c>
      <c r="MZ15" s="604" t="s">
        <v>3518</v>
      </c>
      <c r="NA15" s="48">
        <v>30</v>
      </c>
      <c r="NB15" s="647" t="s">
        <v>3525</v>
      </c>
      <c r="NC15" s="50">
        <v>208005</v>
      </c>
      <c r="ND15" s="662" t="s">
        <v>3539</v>
      </c>
      <c r="NE15" s="254"/>
      <c r="NF15" s="152" t="s">
        <v>1675</v>
      </c>
      <c r="NG15" s="48">
        <f>18.73</f>
        <v>18.73</v>
      </c>
      <c r="NH15" s="665" t="s">
        <v>1670</v>
      </c>
      <c r="NI15" s="249"/>
      <c r="NJ15" s="336"/>
      <c r="NK15" s="50"/>
    </row>
    <row r="16" spans="1:375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1734</v>
      </c>
      <c r="M16" s="14" t="s">
        <v>148</v>
      </c>
      <c r="N16" s="48">
        <v>0</v>
      </c>
      <c r="Q16" s="76" t="s">
        <v>1735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1736</v>
      </c>
      <c r="AD16" s="14">
        <v>0</v>
      </c>
      <c r="AE16" s="21" t="s">
        <v>1616</v>
      </c>
      <c r="AF16" s="60">
        <v>115.37</v>
      </c>
      <c r="AI16" s="71" t="s">
        <v>1736</v>
      </c>
      <c r="AJ16" s="66">
        <v>0</v>
      </c>
      <c r="AK16" s="21" t="s">
        <v>1616</v>
      </c>
      <c r="AL16" s="60">
        <v>115.001</v>
      </c>
      <c r="AO16" s="76" t="s">
        <v>1737</v>
      </c>
      <c r="AP16" s="66">
        <v>100</v>
      </c>
      <c r="AQ16" s="21" t="s">
        <v>1738</v>
      </c>
      <c r="AR16" s="60">
        <v>19</v>
      </c>
      <c r="AS16" s="24"/>
      <c r="AU16" s="76" t="s">
        <v>1739</v>
      </c>
      <c r="AV16" s="14">
        <v>100</v>
      </c>
      <c r="AW16" s="21" t="s">
        <v>1738</v>
      </c>
      <c r="AX16" s="60">
        <v>19.001000000000001</v>
      </c>
      <c r="AY16" s="76"/>
      <c r="BA16" s="21" t="s">
        <v>1738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1740</v>
      </c>
      <c r="BF16" s="66">
        <v>420</v>
      </c>
      <c r="BG16" s="21" t="s">
        <v>1501</v>
      </c>
      <c r="BH16" s="60">
        <v>17.37</v>
      </c>
      <c r="BK16" s="92" t="s">
        <v>1741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1742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1743</v>
      </c>
      <c r="CJ16" s="49">
        <v>100</v>
      </c>
      <c r="CK16" s="21" t="s">
        <v>1744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1745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1746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1747</v>
      </c>
      <c r="DZ16" s="14">
        <v>64.88</v>
      </c>
      <c r="EA16" s="21" t="s">
        <v>1695</v>
      </c>
      <c r="EB16" s="97">
        <v>10000</v>
      </c>
      <c r="EE16" s="71" t="s">
        <v>1747</v>
      </c>
      <c r="EF16" s="14">
        <v>56.99</v>
      </c>
      <c r="EH16" s="54" t="s">
        <v>1748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1749</v>
      </c>
      <c r="EN16" s="54" t="s">
        <v>1633</v>
      </c>
      <c r="EO16" s="99">
        <v>10000</v>
      </c>
      <c r="EP16" s="66" t="s">
        <v>1748</v>
      </c>
      <c r="EQ16" s="14">
        <v>54.94</v>
      </c>
      <c r="ER16" s="169" t="s">
        <v>1698</v>
      </c>
      <c r="ES16" s="14">
        <v>88.98</v>
      </c>
      <c r="ET16" s="54" t="s">
        <v>1750</v>
      </c>
      <c r="EU16" s="99">
        <v>25000</v>
      </c>
      <c r="EX16" s="169" t="s">
        <v>1751</v>
      </c>
      <c r="EY16" s="14">
        <v>77.72</v>
      </c>
      <c r="EZ16" s="54" t="s">
        <v>1697</v>
      </c>
      <c r="FA16" s="99">
        <v>4000</v>
      </c>
      <c r="FB16" s="14" t="s">
        <v>1752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1753</v>
      </c>
      <c r="FI16" s="14">
        <f>15053.39-15000</f>
        <v>53.389999999999418</v>
      </c>
      <c r="FJ16" s="169" t="s">
        <v>1751</v>
      </c>
      <c r="FK16" s="14">
        <v>67.08</v>
      </c>
      <c r="FL16" s="66" t="s">
        <v>1636</v>
      </c>
      <c r="FM16" s="96">
        <v>1000</v>
      </c>
      <c r="FN16" s="14" t="s">
        <v>1754</v>
      </c>
      <c r="FO16" s="14">
        <v>2730</v>
      </c>
      <c r="FP16" s="162" t="s">
        <v>1755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1756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1757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1758</v>
      </c>
      <c r="GI16" s="14">
        <v>2454.0500000000002</v>
      </c>
      <c r="GJ16" s="68" t="s">
        <v>1195</v>
      </c>
      <c r="GK16" s="66">
        <v>0</v>
      </c>
      <c r="GN16" s="178" t="s">
        <v>1759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1760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1761</v>
      </c>
      <c r="HL16" s="169" t="s">
        <v>1762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1763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1764</v>
      </c>
      <c r="IC16" s="222">
        <f>208.9*2</f>
        <v>417.8</v>
      </c>
      <c r="ID16" s="77" t="s">
        <v>1349</v>
      </c>
      <c r="IE16" s="14">
        <v>100</v>
      </c>
      <c r="IF16" s="68" t="s">
        <v>1765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1766</v>
      </c>
      <c r="IS16" s="14">
        <f>10502+14002</f>
        <v>24504</v>
      </c>
      <c r="IT16" s="49" t="s">
        <v>1767</v>
      </c>
      <c r="IU16" s="217">
        <v>7.57</v>
      </c>
      <c r="IV16" s="169" t="s">
        <v>1474</v>
      </c>
      <c r="IW16" s="48">
        <v>47.54</v>
      </c>
      <c r="IX16" s="68" t="s">
        <v>1768</v>
      </c>
      <c r="IY16" s="50">
        <v>24</v>
      </c>
      <c r="IZ16" s="14" t="s">
        <v>1769</v>
      </c>
      <c r="JA16" s="217">
        <v>16.05</v>
      </c>
      <c r="JB16" s="77" t="s">
        <v>1596</v>
      </c>
      <c r="JC16" s="17">
        <f>JC17*2</f>
        <v>2116.98</v>
      </c>
      <c r="JD16" s="68" t="s">
        <v>1770</v>
      </c>
      <c r="JE16" s="50">
        <v>89</v>
      </c>
      <c r="JF16" s="193" t="s">
        <v>1771</v>
      </c>
      <c r="JG16" s="211">
        <v>379.39</v>
      </c>
      <c r="JH16" s="169" t="s">
        <v>1772</v>
      </c>
      <c r="JI16" s="48" t="s">
        <v>663</v>
      </c>
      <c r="JJ16" s="68" t="s">
        <v>1770</v>
      </c>
      <c r="JK16" s="50">
        <v>4000</v>
      </c>
      <c r="JL16" s="14" t="s">
        <v>1773</v>
      </c>
      <c r="JM16" s="48">
        <f>25.72</f>
        <v>25.72</v>
      </c>
      <c r="JN16" s="169" t="s">
        <v>1774</v>
      </c>
      <c r="JO16" s="48">
        <v>23.96</v>
      </c>
      <c r="JP16" s="68" t="s">
        <v>1722</v>
      </c>
      <c r="JQ16" s="249">
        <v>2441</v>
      </c>
      <c r="JR16" s="14" t="s">
        <v>1775</v>
      </c>
      <c r="JS16" s="254">
        <v>300</v>
      </c>
      <c r="JT16" s="169" t="s">
        <v>1774</v>
      </c>
      <c r="JU16" s="48">
        <v>129.6</v>
      </c>
      <c r="JV16" s="82" t="s">
        <v>1776</v>
      </c>
      <c r="JW16" s="249"/>
      <c r="JX16" s="14" t="s">
        <v>1602</v>
      </c>
      <c r="JY16" s="254"/>
      <c r="JZ16" s="162" t="s">
        <v>1777</v>
      </c>
      <c r="KA16" s="14">
        <v>10</v>
      </c>
      <c r="KB16" s="82" t="s">
        <v>1778</v>
      </c>
      <c r="KC16" s="249"/>
      <c r="KD16" s="287"/>
      <c r="KE16" s="287"/>
      <c r="KF16" s="169" t="s">
        <v>1779</v>
      </c>
      <c r="KG16" s="48">
        <v>10.8</v>
      </c>
      <c r="KH16" s="54" t="s">
        <v>1780</v>
      </c>
      <c r="KI16" s="192">
        <v>30</v>
      </c>
      <c r="KJ16" s="49" t="s">
        <v>1781</v>
      </c>
      <c r="KK16" s="254">
        <f>7.87+11.3</f>
        <v>19.170000000000002</v>
      </c>
      <c r="KL16" s="77" t="s">
        <v>1782</v>
      </c>
      <c r="KM16" s="217">
        <f>KM19*9</f>
        <v>1272.2760000000001</v>
      </c>
      <c r="KN16" s="68" t="s">
        <v>1606</v>
      </c>
      <c r="KO16" s="50">
        <v>100842</v>
      </c>
      <c r="KP16" s="66" t="s">
        <v>1783</v>
      </c>
      <c r="KQ16" s="14">
        <f>30000*(1-0.9807)</f>
        <v>578.99999999999955</v>
      </c>
      <c r="KR16" s="91" t="s">
        <v>1784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1785</v>
      </c>
      <c r="KY16" s="66">
        <v>49.7</v>
      </c>
      <c r="KZ16" s="74" t="s">
        <v>1670</v>
      </c>
      <c r="LA16" s="249"/>
      <c r="LB16" s="54" t="s">
        <v>1786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1787</v>
      </c>
      <c r="LG16" s="172">
        <v>10</v>
      </c>
      <c r="LH16" s="49"/>
      <c r="LI16" s="254"/>
      <c r="LJ16" s="162" t="s">
        <v>1788</v>
      </c>
      <c r="LK16" s="305">
        <v>50</v>
      </c>
      <c r="LL16" s="74" t="s">
        <v>1787</v>
      </c>
      <c r="LM16" s="172">
        <v>11</v>
      </c>
      <c r="LN16" s="14" t="s">
        <v>1268</v>
      </c>
      <c r="LO16" s="254"/>
      <c r="LP16" s="162" t="s">
        <v>1789</v>
      </c>
      <c r="LQ16" s="62">
        <f>1021.88+238.15</f>
        <v>1260.03</v>
      </c>
      <c r="LR16" s="74" t="s">
        <v>1670</v>
      </c>
      <c r="LS16" s="249"/>
      <c r="LT16" s="49" t="s">
        <v>1790</v>
      </c>
      <c r="LU16" s="254">
        <v>283.13</v>
      </c>
      <c r="LV16" s="72" t="s">
        <v>1791</v>
      </c>
      <c r="LW16" s="61">
        <v>138.97</v>
      </c>
      <c r="LX16" s="68" t="s">
        <v>1792</v>
      </c>
      <c r="LY16" s="50">
        <v>100001</v>
      </c>
      <c r="LZ16" s="49" t="s">
        <v>1793</v>
      </c>
      <c r="MA16" s="254">
        <v>309.74</v>
      </c>
      <c r="MB16" s="49" t="s">
        <v>1794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3407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599" t="s">
        <v>3454</v>
      </c>
      <c r="MS16" s="254">
        <f>41+74+205</f>
        <v>320</v>
      </c>
      <c r="MT16" s="152" t="s">
        <v>3491</v>
      </c>
      <c r="MU16" s="51">
        <v>153.11000000000001</v>
      </c>
      <c r="MV16" s="601" t="s">
        <v>1482</v>
      </c>
      <c r="MW16" s="48">
        <v>0</v>
      </c>
      <c r="MX16" s="49" t="s">
        <v>3496</v>
      </c>
      <c r="MY16" s="254">
        <f>746.61+10.67</f>
        <v>757.28</v>
      </c>
      <c r="MZ16" s="604" t="s">
        <v>3481</v>
      </c>
      <c r="NA16" s="48">
        <v>4</v>
      </c>
      <c r="NB16" s="647" t="s">
        <v>1606</v>
      </c>
      <c r="NC16" s="50">
        <v>100686</v>
      </c>
      <c r="ND16" s="49" t="s">
        <v>1677</v>
      </c>
      <c r="NE16" s="48">
        <f>32.87+0.59</f>
        <v>33.46</v>
      </c>
      <c r="NF16" s="604" t="s">
        <v>3540</v>
      </c>
      <c r="NG16" s="48"/>
      <c r="NH16" s="656" t="s">
        <v>3507</v>
      </c>
      <c r="NI16" s="99">
        <v>-1973</v>
      </c>
      <c r="NJ16" s="336"/>
      <c r="NK16" s="99"/>
    </row>
    <row r="17" spans="1:375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1795</v>
      </c>
      <c r="N17" s="60"/>
      <c r="S17" s="21" t="s">
        <v>1795</v>
      </c>
      <c r="T17" s="60"/>
      <c r="U17" s="14" t="s">
        <v>1796</v>
      </c>
      <c r="V17" s="14">
        <v>100</v>
      </c>
      <c r="W17" s="63" t="s">
        <v>355</v>
      </c>
      <c r="X17" s="14">
        <v>288.75</v>
      </c>
      <c r="Y17" s="21" t="s">
        <v>1795</v>
      </c>
      <c r="Z17" s="60"/>
      <c r="AA17" s="14" t="s">
        <v>1796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1797</v>
      </c>
      <c r="AP17" s="66">
        <v>2354.0500000000002</v>
      </c>
      <c r="AQ17" s="14" t="s">
        <v>148</v>
      </c>
      <c r="AR17" s="62">
        <v>0</v>
      </c>
      <c r="AU17" s="76" t="s">
        <v>1798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1744</v>
      </c>
      <c r="BZ17" s="60"/>
      <c r="CA17" s="49" t="s">
        <v>1618</v>
      </c>
      <c r="CB17" s="66" t="s">
        <v>646</v>
      </c>
      <c r="CC17" s="92"/>
      <c r="CD17" s="66"/>
      <c r="CE17" s="21" t="s">
        <v>1744</v>
      </c>
      <c r="CF17" s="60"/>
      <c r="CI17" s="92" t="s">
        <v>321</v>
      </c>
      <c r="CJ17" s="66"/>
      <c r="CK17" s="21" t="s">
        <v>1799</v>
      </c>
      <c r="CL17" s="60">
        <v>5920</v>
      </c>
      <c r="CO17" s="92"/>
      <c r="CP17" s="66"/>
      <c r="CQ17" s="21" t="s">
        <v>1744</v>
      </c>
      <c r="CR17" s="60"/>
      <c r="CU17" s="93" t="s">
        <v>1800</v>
      </c>
      <c r="CV17" s="49">
        <v>615.20000000000005</v>
      </c>
      <c r="CW17" s="21" t="s">
        <v>1744</v>
      </c>
      <c r="CX17" s="60"/>
      <c r="CY17" s="62" t="s">
        <v>1801</v>
      </c>
      <c r="CZ17" s="49">
        <v>14</v>
      </c>
      <c r="DA17" s="121" t="s">
        <v>1802</v>
      </c>
      <c r="DB17" s="49">
        <v>1316.1</v>
      </c>
      <c r="DC17" s="65" t="s">
        <v>1283</v>
      </c>
      <c r="DD17" s="103">
        <v>150</v>
      </c>
      <c r="DE17" s="62" t="s">
        <v>1803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1804</v>
      </c>
      <c r="DN17" s="62">
        <v>18</v>
      </c>
      <c r="DO17" s="21" t="s">
        <v>1748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1748</v>
      </c>
      <c r="EB17" s="97">
        <v>40000</v>
      </c>
      <c r="EE17" s="71" t="s">
        <v>1547</v>
      </c>
      <c r="EF17" s="14">
        <f>15+6.5+97.5</f>
        <v>119</v>
      </c>
      <c r="EH17" s="54" t="s">
        <v>1805</v>
      </c>
      <c r="EI17" s="99">
        <v>20000</v>
      </c>
      <c r="EJ17" s="14" t="s">
        <v>1253</v>
      </c>
      <c r="EK17" s="14">
        <v>3.9</v>
      </c>
      <c r="EL17" s="71" t="s">
        <v>1751</v>
      </c>
      <c r="EM17" s="14">
        <v>73.87</v>
      </c>
      <c r="EN17" s="54" t="s">
        <v>1806</v>
      </c>
      <c r="EO17" s="99">
        <v>5000</v>
      </c>
      <c r="ER17" s="169" t="s">
        <v>1751</v>
      </c>
      <c r="ES17" s="14">
        <v>78.400000000000006</v>
      </c>
      <c r="ET17" s="54" t="s">
        <v>1633</v>
      </c>
      <c r="EU17" s="99">
        <v>10000</v>
      </c>
      <c r="EX17" s="169" t="s">
        <v>1807</v>
      </c>
      <c r="EY17" s="14">
        <v>72</v>
      </c>
      <c r="EZ17" s="54" t="s">
        <v>1750</v>
      </c>
      <c r="FA17" s="99">
        <v>25000</v>
      </c>
      <c r="FB17" s="14" t="s">
        <v>1808</v>
      </c>
      <c r="FC17" s="14">
        <v>1888</v>
      </c>
      <c r="FD17" s="169" t="s">
        <v>1751</v>
      </c>
      <c r="FE17" s="14">
        <v>81.84</v>
      </c>
      <c r="FF17" s="54" t="s">
        <v>1809</v>
      </c>
      <c r="FG17" s="99">
        <v>25000</v>
      </c>
      <c r="FH17" s="14" t="s">
        <v>1810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1811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1812</v>
      </c>
      <c r="FT17" s="14" t="s">
        <v>1813</v>
      </c>
      <c r="FU17" s="17">
        <v>18.399999999999999</v>
      </c>
      <c r="FV17" s="162" t="s">
        <v>1814</v>
      </c>
      <c r="FW17" s="154">
        <v>29.62</v>
      </c>
      <c r="FX17" s="82" t="s">
        <v>1815</v>
      </c>
      <c r="FZ17" s="14" t="s">
        <v>1404</v>
      </c>
      <c r="GA17" s="14">
        <v>13.32</v>
      </c>
      <c r="GB17" s="174" t="s">
        <v>1816</v>
      </c>
      <c r="GC17" s="14">
        <v>134</v>
      </c>
      <c r="GD17" s="82" t="s">
        <v>1815</v>
      </c>
      <c r="GF17" s="74" t="s">
        <v>148</v>
      </c>
      <c r="GG17" s="14">
        <v>130.44999999999999</v>
      </c>
      <c r="GH17" s="178" t="s">
        <v>1817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1818</v>
      </c>
      <c r="GU17" s="14">
        <v>5</v>
      </c>
      <c r="GV17" s="82" t="s">
        <v>1819</v>
      </c>
      <c r="GY17" s="17"/>
      <c r="GZ17" s="179" t="s">
        <v>1820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1821</v>
      </c>
      <c r="HG17" s="14">
        <v>48.24</v>
      </c>
      <c r="HH17" s="82" t="s">
        <v>1819</v>
      </c>
      <c r="HJ17" s="194">
        <v>258.44</v>
      </c>
      <c r="HK17" s="187" t="s">
        <v>1822</v>
      </c>
      <c r="HL17" s="169" t="s">
        <v>1823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1824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1825</v>
      </c>
      <c r="IC17" s="224">
        <v>835.6</v>
      </c>
      <c r="ID17" s="77" t="s">
        <v>1519</v>
      </c>
      <c r="IE17" s="185">
        <f>IE18*2</f>
        <v>1833.7466666666667</v>
      </c>
      <c r="IF17" s="68" t="s">
        <v>1826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1827</v>
      </c>
      <c r="IL17" s="68" t="s">
        <v>1653</v>
      </c>
      <c r="IM17" s="50">
        <v>4000</v>
      </c>
      <c r="IN17" s="14" t="s">
        <v>1828</v>
      </c>
      <c r="IO17" s="217">
        <f>149.59*2</f>
        <v>299.18</v>
      </c>
      <c r="IP17" s="169" t="s">
        <v>1708</v>
      </c>
      <c r="IQ17" s="48">
        <v>18</v>
      </c>
      <c r="IR17" s="68" t="s">
        <v>1829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1829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1829</v>
      </c>
      <c r="JE17" s="50">
        <v>65005</v>
      </c>
      <c r="JF17" s="193" t="s">
        <v>1830</v>
      </c>
      <c r="JG17" s="14">
        <v>442.61</v>
      </c>
      <c r="JH17" s="169" t="s">
        <v>1831</v>
      </c>
      <c r="JI17" s="48">
        <v>59.36</v>
      </c>
      <c r="JJ17" s="68" t="s">
        <v>1832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1833</v>
      </c>
      <c r="JO17" s="48">
        <v>30</v>
      </c>
      <c r="JP17" s="82" t="s">
        <v>1776</v>
      </c>
      <c r="JQ17" s="249"/>
      <c r="JR17" s="14" t="s">
        <v>1720</v>
      </c>
      <c r="JS17" s="254">
        <v>2.95</v>
      </c>
      <c r="JT17" s="169" t="s">
        <v>1834</v>
      </c>
      <c r="JU17" s="51">
        <v>131.6</v>
      </c>
      <c r="JV17" s="68" t="s">
        <v>1835</v>
      </c>
      <c r="JW17" s="50">
        <v>0</v>
      </c>
      <c r="JX17" s="49" t="s">
        <v>1836</v>
      </c>
      <c r="JY17" s="254">
        <f>1.29+1.15</f>
        <v>2.44</v>
      </c>
      <c r="JZ17" s="162" t="s">
        <v>1837</v>
      </c>
      <c r="KA17" s="14">
        <f>6.8+7.8</f>
        <v>14.6</v>
      </c>
      <c r="KB17" s="68" t="s">
        <v>1835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1838</v>
      </c>
      <c r="KI17" s="172">
        <f>686-1000</f>
        <v>-314</v>
      </c>
      <c r="KJ17" s="49" t="s">
        <v>1482</v>
      </c>
      <c r="KK17" s="254">
        <v>7.97</v>
      </c>
      <c r="KL17" s="218" t="s">
        <v>1839</v>
      </c>
      <c r="KM17" s="217">
        <f>1388.33-KM18</f>
        <v>1240.58</v>
      </c>
      <c r="KN17" s="68" t="s">
        <v>1840</v>
      </c>
      <c r="KO17" s="50">
        <v>129000</v>
      </c>
      <c r="KP17" s="66" t="s">
        <v>1841</v>
      </c>
      <c r="KQ17" s="14">
        <f>20000*(1-0.9803)</f>
        <v>394.00000000000102</v>
      </c>
      <c r="KR17" s="77" t="s">
        <v>1842</v>
      </c>
      <c r="KS17" s="217">
        <f>1363.36-KS18</f>
        <v>1223.29</v>
      </c>
      <c r="KT17" s="68" t="s">
        <v>1840</v>
      </c>
      <c r="KU17" s="50">
        <v>199369</v>
      </c>
      <c r="KV17" s="49"/>
      <c r="KW17" s="254"/>
      <c r="KX17" s="91" t="s">
        <v>1843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1844</v>
      </c>
      <c r="LE17" s="305">
        <v>69.900000000000006</v>
      </c>
      <c r="LF17" s="66" t="s">
        <v>1845</v>
      </c>
      <c r="LG17" s="50">
        <f>LF18-0.99*195000</f>
        <v>-677</v>
      </c>
      <c r="LH17" s="14" t="s">
        <v>1602</v>
      </c>
      <c r="LI17" s="254"/>
      <c r="LJ17" s="93" t="s">
        <v>1846</v>
      </c>
      <c r="LK17" s="66">
        <f>88.33+39.69</f>
        <v>128.01999999999998</v>
      </c>
      <c r="LL17" s="66" t="s">
        <v>1845</v>
      </c>
      <c r="LM17" s="50">
        <v>-11827</v>
      </c>
      <c r="LN17" s="14" t="s">
        <v>1330</v>
      </c>
      <c r="LO17" s="254">
        <v>62.000999999999998</v>
      </c>
      <c r="LP17" s="162" t="s">
        <v>1847</v>
      </c>
      <c r="LQ17" s="62">
        <v>38.380000000000003</v>
      </c>
      <c r="LR17" s="54" t="s">
        <v>1728</v>
      </c>
      <c r="LS17" s="99">
        <v>-317</v>
      </c>
      <c r="LT17" s="66" t="s">
        <v>1848</v>
      </c>
      <c r="LU17" s="254">
        <v>473.98</v>
      </c>
      <c r="LV17" s="72" t="s">
        <v>1849</v>
      </c>
      <c r="LW17" s="62">
        <v>202.58</v>
      </c>
      <c r="LX17" s="74" t="s">
        <v>1670</v>
      </c>
      <c r="LY17" s="249"/>
      <c r="LZ17" s="49" t="s">
        <v>1850</v>
      </c>
      <c r="MA17" s="254">
        <v>758.42</v>
      </c>
      <c r="MB17" s="326" t="s">
        <v>1851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3424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327" t="s">
        <v>1677</v>
      </c>
      <c r="MS17" s="48">
        <v>33</v>
      </c>
      <c r="MT17" s="152" t="s">
        <v>1547</v>
      </c>
      <c r="MU17" s="48">
        <v>5</v>
      </c>
      <c r="MV17" s="601" t="s">
        <v>1606</v>
      </c>
      <c r="MW17" s="50">
        <v>101741</v>
      </c>
      <c r="MX17" s="603" t="s">
        <v>3506</v>
      </c>
      <c r="MY17" s="48">
        <v>11.93</v>
      </c>
      <c r="MZ17" s="604" t="s">
        <v>3536</v>
      </c>
      <c r="NA17" s="48">
        <v>16.001000000000001</v>
      </c>
      <c r="NB17" s="646" t="s">
        <v>1670</v>
      </c>
      <c r="NC17" s="249"/>
      <c r="ND17" s="49" t="s">
        <v>3548</v>
      </c>
      <c r="NE17" s="254"/>
      <c r="NF17" s="604" t="s">
        <v>3481</v>
      </c>
      <c r="NG17" s="48"/>
      <c r="NH17" s="655">
        <v>34.5</v>
      </c>
      <c r="NI17" s="653" t="s">
        <v>3563</v>
      </c>
      <c r="NJ17" s="336"/>
      <c r="NK17" s="99"/>
    </row>
    <row r="18" spans="1:375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1852</v>
      </c>
      <c r="N18" s="60">
        <v>1218</v>
      </c>
      <c r="Q18" s="58"/>
      <c r="S18" s="21" t="s">
        <v>1852</v>
      </c>
      <c r="T18" s="60">
        <v>1142</v>
      </c>
      <c r="W18" s="63" t="s">
        <v>364</v>
      </c>
      <c r="Y18" s="21" t="s">
        <v>1799</v>
      </c>
      <c r="Z18" s="60">
        <v>100.54</v>
      </c>
      <c r="AC18" s="72" t="s">
        <v>1853</v>
      </c>
      <c r="AD18" s="14">
        <v>104</v>
      </c>
      <c r="AE18" s="21" t="s">
        <v>1795</v>
      </c>
      <c r="AF18" s="60"/>
      <c r="AI18" s="72" t="s">
        <v>1854</v>
      </c>
      <c r="AJ18" s="66">
        <v>0</v>
      </c>
      <c r="AK18" s="21" t="s">
        <v>1795</v>
      </c>
      <c r="AL18" s="60"/>
      <c r="AM18" s="14" t="s">
        <v>1618</v>
      </c>
      <c r="AO18" s="63" t="s">
        <v>1855</v>
      </c>
      <c r="AP18" s="66">
        <v>378.81</v>
      </c>
      <c r="AQ18" s="21" t="s">
        <v>1795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1744</v>
      </c>
      <c r="AX18" s="60"/>
      <c r="AY18" s="63"/>
      <c r="AZ18" s="66"/>
      <c r="BA18" s="21" t="s">
        <v>1744</v>
      </c>
      <c r="BB18" s="60">
        <f t="shared" si="0"/>
        <v>0</v>
      </c>
      <c r="BE18" s="71" t="s">
        <v>1856</v>
      </c>
      <c r="BF18" s="66" t="s">
        <v>646</v>
      </c>
      <c r="BG18" s="21" t="s">
        <v>1744</v>
      </c>
      <c r="BH18" s="60"/>
      <c r="BJ18" s="66"/>
      <c r="BK18" s="93" t="s">
        <v>1856</v>
      </c>
      <c r="BL18" s="66">
        <f>172+215</f>
        <v>387</v>
      </c>
      <c r="BM18" s="21" t="s">
        <v>1744</v>
      </c>
      <c r="BN18" s="60"/>
      <c r="BO18" s="66" t="s">
        <v>1687</v>
      </c>
      <c r="BP18" s="66">
        <v>7</v>
      </c>
      <c r="BQ18" s="93" t="s">
        <v>1857</v>
      </c>
      <c r="BR18" s="66">
        <v>172</v>
      </c>
      <c r="BS18" s="21" t="s">
        <v>1744</v>
      </c>
      <c r="BT18" s="22"/>
      <c r="BU18" s="66"/>
      <c r="BV18" s="66"/>
      <c r="BW18" s="93" t="s">
        <v>1858</v>
      </c>
      <c r="BX18" s="66">
        <v>172</v>
      </c>
      <c r="BY18" s="21" t="s">
        <v>1799</v>
      </c>
      <c r="BZ18" s="60">
        <v>1013</v>
      </c>
      <c r="CA18" s="49" t="s">
        <v>1686</v>
      </c>
      <c r="CB18" s="66" t="s">
        <v>646</v>
      </c>
      <c r="CC18" s="93" t="s">
        <v>1859</v>
      </c>
      <c r="CD18" s="66">
        <v>215</v>
      </c>
      <c r="CE18" s="21" t="s">
        <v>1799</v>
      </c>
      <c r="CF18" s="60">
        <v>1014</v>
      </c>
      <c r="CG18" s="62"/>
      <c r="CI18" s="92"/>
      <c r="CJ18" s="66"/>
      <c r="CK18" s="21" t="s">
        <v>1852</v>
      </c>
      <c r="CL18" s="60">
        <v>21145.64</v>
      </c>
      <c r="CM18" s="62" t="s">
        <v>1242</v>
      </c>
      <c r="CN18" s="49">
        <f>5+5</f>
        <v>10</v>
      </c>
      <c r="CO18" s="93" t="s">
        <v>1856</v>
      </c>
      <c r="CP18" s="66" t="s">
        <v>646</v>
      </c>
      <c r="CQ18" s="21" t="s">
        <v>1799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1799</v>
      </c>
      <c r="CX18" s="60">
        <v>60</v>
      </c>
      <c r="CY18" s="66" t="s">
        <v>657</v>
      </c>
      <c r="DA18" s="93" t="s">
        <v>1860</v>
      </c>
      <c r="DB18" s="66">
        <v>115.81</v>
      </c>
      <c r="DC18" s="21" t="s">
        <v>1744</v>
      </c>
      <c r="DD18" s="60"/>
      <c r="DE18" s="62" t="s">
        <v>1861</v>
      </c>
      <c r="DF18" s="66">
        <v>57.6</v>
      </c>
      <c r="DG18" s="119" t="s">
        <v>1862</v>
      </c>
      <c r="DH18" s="62">
        <v>2000</v>
      </c>
      <c r="DI18" s="719" t="s">
        <v>1863</v>
      </c>
      <c r="DJ18" s="720"/>
      <c r="DK18" s="62"/>
      <c r="DM18" s="119" t="s">
        <v>1560</v>
      </c>
      <c r="DN18" s="62"/>
      <c r="DO18" s="21" t="s">
        <v>1864</v>
      </c>
      <c r="DP18" s="97">
        <v>10000</v>
      </c>
      <c r="DQ18" s="62"/>
      <c r="DS18" s="120" t="s">
        <v>1865</v>
      </c>
      <c r="DT18" s="51">
        <v>382</v>
      </c>
      <c r="DU18" s="21" t="s">
        <v>1748</v>
      </c>
      <c r="DV18" s="97">
        <v>40000</v>
      </c>
      <c r="DY18" s="71" t="s">
        <v>1866</v>
      </c>
      <c r="DZ18" s="14">
        <v>140.94999999999999</v>
      </c>
      <c r="EA18" s="21" t="s">
        <v>1805</v>
      </c>
      <c r="EB18" s="97">
        <v>10000</v>
      </c>
      <c r="EE18" s="71" t="s">
        <v>1866</v>
      </c>
      <c r="EF18" s="14">
        <v>140.44999999999999</v>
      </c>
      <c r="EH18" s="54" t="s">
        <v>1867</v>
      </c>
      <c r="EI18" s="99">
        <v>10000</v>
      </c>
      <c r="EJ18" s="14" t="s">
        <v>1253</v>
      </c>
      <c r="EK18" s="14">
        <v>28.7</v>
      </c>
      <c r="EL18" s="71" t="s">
        <v>1807</v>
      </c>
      <c r="EM18" s="14">
        <f>34.42+10.73</f>
        <v>45.150000000000006</v>
      </c>
      <c r="EN18" s="54" t="s">
        <v>1868</v>
      </c>
      <c r="EO18" s="99">
        <v>5000</v>
      </c>
      <c r="ER18" s="169" t="s">
        <v>1807</v>
      </c>
      <c r="ES18" s="14">
        <v>0</v>
      </c>
      <c r="ET18" s="54" t="s">
        <v>1869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1870</v>
      </c>
      <c r="FE18" s="14">
        <v>139.01</v>
      </c>
      <c r="FF18" s="54" t="s">
        <v>1633</v>
      </c>
      <c r="FG18" s="99">
        <v>15000</v>
      </c>
      <c r="FH18" s="66" t="s">
        <v>1871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1872</v>
      </c>
      <c r="FO18" s="17">
        <v>55</v>
      </c>
      <c r="FP18" s="169" t="s">
        <v>1873</v>
      </c>
      <c r="FQ18" s="14">
        <v>184.77</v>
      </c>
      <c r="FR18" s="66" t="s">
        <v>1874</v>
      </c>
      <c r="FS18" s="96"/>
      <c r="FU18" s="17"/>
      <c r="FV18" s="169" t="s">
        <v>1875</v>
      </c>
      <c r="FW18" s="14">
        <f>3.08+89.15</f>
        <v>92.23</v>
      </c>
      <c r="FX18" s="54" t="s">
        <v>1876</v>
      </c>
      <c r="FY18" s="82">
        <v>748</v>
      </c>
      <c r="GB18" s="162" t="s">
        <v>1877</v>
      </c>
      <c r="GD18" s="54" t="s">
        <v>1876</v>
      </c>
      <c r="GE18" s="82">
        <v>856</v>
      </c>
      <c r="GF18" s="14" t="s">
        <v>1404</v>
      </c>
      <c r="GG18" s="14" t="s">
        <v>646</v>
      </c>
      <c r="GH18" s="162" t="s">
        <v>1878</v>
      </c>
      <c r="GI18" s="14">
        <v>3.87</v>
      </c>
      <c r="GJ18" s="70" t="s">
        <v>1879</v>
      </c>
      <c r="GK18" s="14">
        <v>1200</v>
      </c>
      <c r="GM18" s="17"/>
      <c r="GN18" s="162" t="s">
        <v>1880</v>
      </c>
      <c r="GO18" s="14">
        <v>54.38</v>
      </c>
      <c r="GP18" s="82" t="s">
        <v>1881</v>
      </c>
      <c r="GR18" s="14" t="s">
        <v>1404</v>
      </c>
      <c r="GS18" s="14">
        <v>13.53</v>
      </c>
      <c r="GT18" s="169" t="s">
        <v>1882</v>
      </c>
      <c r="GU18" s="14">
        <v>67.42</v>
      </c>
      <c r="GV18" s="70" t="s">
        <v>1879</v>
      </c>
      <c r="GW18" s="14">
        <v>1001</v>
      </c>
      <c r="GZ18" s="169" t="s">
        <v>1405</v>
      </c>
      <c r="HA18" s="185">
        <f>2525.92/6</f>
        <v>420.98666666666668</v>
      </c>
      <c r="HB18" s="82" t="s">
        <v>1819</v>
      </c>
      <c r="HD18" s="14" t="s">
        <v>1883</v>
      </c>
      <c r="HE18" s="14">
        <f>1.25*3</f>
        <v>3.75</v>
      </c>
      <c r="HF18" s="162" t="s">
        <v>1884</v>
      </c>
      <c r="HG18" s="14">
        <v>33</v>
      </c>
      <c r="HH18" s="70" t="s">
        <v>1879</v>
      </c>
      <c r="HI18" s="14">
        <v>2041</v>
      </c>
      <c r="HJ18" s="194">
        <v>23.05</v>
      </c>
      <c r="HK18" s="187" t="s">
        <v>1822</v>
      </c>
      <c r="HL18" s="169" t="s">
        <v>1885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1886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1887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1888</v>
      </c>
      <c r="IG18" s="50">
        <v>295021.18</v>
      </c>
      <c r="IH18" s="14" t="s">
        <v>1889</v>
      </c>
      <c r="II18" s="217">
        <v>17.73</v>
      </c>
      <c r="IJ18" s="169" t="s">
        <v>1457</v>
      </c>
      <c r="IK18" s="14" t="s">
        <v>1827</v>
      </c>
      <c r="IL18" s="82" t="s">
        <v>1890</v>
      </c>
      <c r="IM18" s="50">
        <f>100*(120+1000+330+310)</f>
        <v>176000</v>
      </c>
      <c r="IN18" s="14" t="s">
        <v>1606</v>
      </c>
      <c r="IO18" s="14">
        <v>3</v>
      </c>
      <c r="IP18" s="169" t="s">
        <v>1891</v>
      </c>
      <c r="IQ18" s="48">
        <v>42.65</v>
      </c>
      <c r="IR18" s="68" t="s">
        <v>1606</v>
      </c>
      <c r="IS18" s="50">
        <v>1143</v>
      </c>
      <c r="IT18" s="14" t="s">
        <v>1769</v>
      </c>
      <c r="IU18" s="217">
        <v>14</v>
      </c>
      <c r="IV18" s="169" t="s">
        <v>1892</v>
      </c>
      <c r="IW18" s="51">
        <v>110.02</v>
      </c>
      <c r="IX18" s="68" t="s">
        <v>1893</v>
      </c>
      <c r="IY18" s="249">
        <v>4175</v>
      </c>
      <c r="IZ18" s="193"/>
      <c r="JA18" s="211"/>
      <c r="JB18" s="169" t="s">
        <v>1894</v>
      </c>
      <c r="JC18" s="48">
        <v>110.79</v>
      </c>
      <c r="JD18" s="68" t="s">
        <v>1895</v>
      </c>
      <c r="JE18" s="249">
        <v>3083</v>
      </c>
      <c r="JF18" s="193"/>
      <c r="JG18" s="211"/>
      <c r="JH18" s="169" t="s">
        <v>1896</v>
      </c>
      <c r="JI18" s="48">
        <v>30</v>
      </c>
      <c r="JJ18" s="68" t="s">
        <v>1895</v>
      </c>
      <c r="JK18" s="50">
        <v>99936</v>
      </c>
      <c r="JL18" s="193" t="s">
        <v>1897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1835</v>
      </c>
      <c r="JQ18" s="50">
        <v>0</v>
      </c>
      <c r="JR18" s="255" t="s">
        <v>1773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1898</v>
      </c>
      <c r="JW18" s="50">
        <v>15</v>
      </c>
      <c r="JX18" s="49" t="s">
        <v>1899</v>
      </c>
      <c r="JY18" s="254">
        <f>65.16+2.55</f>
        <v>67.709999999999994</v>
      </c>
      <c r="JZ18" s="162" t="s">
        <v>1900</v>
      </c>
      <c r="KA18" s="14">
        <f>73.44/2</f>
        <v>36.72</v>
      </c>
      <c r="KB18" s="68" t="s">
        <v>1898</v>
      </c>
      <c r="KC18" s="50">
        <v>14</v>
      </c>
      <c r="KD18" s="49" t="s">
        <v>1899</v>
      </c>
      <c r="KE18" s="254">
        <v>92.26</v>
      </c>
      <c r="KF18" s="152" t="s">
        <v>1901</v>
      </c>
      <c r="KG18" s="48">
        <v>10</v>
      </c>
      <c r="KH18" s="66" t="s">
        <v>1902</v>
      </c>
      <c r="KI18" s="172"/>
      <c r="KJ18" s="49" t="s">
        <v>1903</v>
      </c>
      <c r="KK18" s="254">
        <v>12.01</v>
      </c>
      <c r="KL18" s="301" t="s">
        <v>1904</v>
      </c>
      <c r="KM18" s="85">
        <v>147.75</v>
      </c>
      <c r="KN18" s="74" t="s">
        <v>1670</v>
      </c>
      <c r="KO18" s="249"/>
      <c r="KP18" s="49" t="s">
        <v>1905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1906</v>
      </c>
      <c r="KY18" s="66">
        <v>52.42</v>
      </c>
      <c r="KZ18" s="74" t="s">
        <v>1787</v>
      </c>
      <c r="LA18" s="172">
        <v>-78.540000000000006</v>
      </c>
      <c r="LB18" s="66" t="s">
        <v>1907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1908</v>
      </c>
      <c r="LH18" s="54" t="s">
        <v>1909</v>
      </c>
      <c r="LI18" s="254">
        <f>212+76+43</f>
        <v>331</v>
      </c>
      <c r="LJ18" s="93" t="s">
        <v>1910</v>
      </c>
      <c r="LK18" s="66">
        <v>66</v>
      </c>
      <c r="LL18" s="288">
        <v>176526</v>
      </c>
      <c r="LM18" s="14" t="s">
        <v>1911</v>
      </c>
      <c r="LN18" s="66" t="s">
        <v>1912</v>
      </c>
      <c r="LO18" s="254">
        <v>164.85</v>
      </c>
      <c r="LP18" s="162" t="s">
        <v>1428</v>
      </c>
      <c r="LQ18" s="62">
        <v>20</v>
      </c>
      <c r="LR18" s="66" t="s">
        <v>1845</v>
      </c>
      <c r="LS18" s="50">
        <f>LR19-0.99*195000</f>
        <v>-216</v>
      </c>
      <c r="LT18" s="66" t="s">
        <v>1848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1850</v>
      </c>
      <c r="MA18" s="254">
        <v>14.63</v>
      </c>
      <c r="MB18" s="326" t="s">
        <v>1913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2040</v>
      </c>
      <c r="MO18" s="48">
        <v>10</v>
      </c>
      <c r="MP18" s="68" t="s">
        <v>1540</v>
      </c>
      <c r="MQ18" s="637">
        <v>214001</v>
      </c>
      <c r="MR18" s="327" t="s">
        <v>3431</v>
      </c>
      <c r="MS18" s="254">
        <f>3+211.45</f>
        <v>214.45</v>
      </c>
      <c r="MT18" s="152" t="s">
        <v>1612</v>
      </c>
      <c r="MU18" s="48">
        <f>13.57+9+9</f>
        <v>31.57</v>
      </c>
      <c r="MV18" s="601" t="s">
        <v>1540</v>
      </c>
      <c r="MW18" s="50">
        <v>194001</v>
      </c>
      <c r="MX18" s="642" t="s">
        <v>1605</v>
      </c>
      <c r="MY18" s="642"/>
      <c r="MZ18" s="604" t="s">
        <v>2582</v>
      </c>
      <c r="NA18" s="48">
        <v>80</v>
      </c>
      <c r="NB18" s="656" t="s">
        <v>3507</v>
      </c>
      <c r="NC18" s="99">
        <v>-1807</v>
      </c>
      <c r="ND18" s="603" t="s">
        <v>3506</v>
      </c>
      <c r="NF18" s="604" t="s">
        <v>1877</v>
      </c>
      <c r="NG18" s="48"/>
      <c r="NH18" s="666" t="s">
        <v>1787</v>
      </c>
      <c r="NI18" s="586">
        <v>0</v>
      </c>
      <c r="NJ18" s="611">
        <v>45506</v>
      </c>
      <c r="NK18" s="50"/>
    </row>
    <row r="19" spans="1:375">
      <c r="A19" s="21" t="s">
        <v>1795</v>
      </c>
      <c r="B19" s="60"/>
      <c r="E19" s="63" t="s">
        <v>364</v>
      </c>
      <c r="F19" s="63"/>
      <c r="G19" s="21" t="s">
        <v>1795</v>
      </c>
      <c r="H19" s="60"/>
      <c r="K19" s="63" t="s">
        <v>364</v>
      </c>
      <c r="M19" s="21" t="s">
        <v>1914</v>
      </c>
      <c r="N19" s="60">
        <v>550</v>
      </c>
      <c r="Q19" s="63" t="s">
        <v>1734</v>
      </c>
      <c r="S19" s="21" t="s">
        <v>1915</v>
      </c>
      <c r="T19" s="60">
        <v>550</v>
      </c>
      <c r="W19" s="63" t="s">
        <v>1916</v>
      </c>
      <c r="Y19" s="21" t="s">
        <v>1852</v>
      </c>
      <c r="Z19" s="60">
        <v>1142</v>
      </c>
      <c r="AA19" s="14" t="s">
        <v>1917</v>
      </c>
      <c r="AB19" s="14">
        <v>50</v>
      </c>
      <c r="AC19" s="72" t="s">
        <v>1918</v>
      </c>
      <c r="AD19" s="14">
        <v>0</v>
      </c>
      <c r="AE19" s="21" t="s">
        <v>1799</v>
      </c>
      <c r="AF19" s="60">
        <v>10001</v>
      </c>
      <c r="AI19" s="72" t="s">
        <v>1919</v>
      </c>
      <c r="AJ19" s="66">
        <v>56</v>
      </c>
      <c r="AK19" s="21" t="s">
        <v>1799</v>
      </c>
      <c r="AL19" s="60" t="s">
        <v>1812</v>
      </c>
      <c r="AM19" s="24"/>
      <c r="AO19" s="63" t="s">
        <v>1920</v>
      </c>
      <c r="AP19" s="66">
        <v>146</v>
      </c>
      <c r="AQ19" s="21" t="s">
        <v>1799</v>
      </c>
      <c r="AR19" s="60">
        <f>AN21</f>
        <v>2200</v>
      </c>
      <c r="AU19" s="63" t="s">
        <v>1921</v>
      </c>
      <c r="AV19" s="66">
        <v>42.53</v>
      </c>
      <c r="AW19" s="21" t="s">
        <v>1799</v>
      </c>
      <c r="AX19" s="60">
        <f>10000+2200</f>
        <v>12200</v>
      </c>
      <c r="AY19" s="63"/>
      <c r="AZ19" s="66"/>
      <c r="BA19" s="21" t="s">
        <v>1799</v>
      </c>
      <c r="BB19" s="60">
        <f t="shared" si="0"/>
        <v>12200</v>
      </c>
      <c r="BC19" s="14" t="s">
        <v>1922</v>
      </c>
      <c r="BE19" s="71" t="s">
        <v>1923</v>
      </c>
      <c r="BF19" s="66">
        <v>325.27999999999997</v>
      </c>
      <c r="BG19" s="21" t="s">
        <v>1799</v>
      </c>
      <c r="BH19" s="60">
        <v>10000</v>
      </c>
      <c r="BK19" s="93" t="s">
        <v>1923</v>
      </c>
      <c r="BL19" s="49" t="s">
        <v>646</v>
      </c>
      <c r="BM19" s="21" t="s">
        <v>1799</v>
      </c>
      <c r="BN19" s="60">
        <v>10000</v>
      </c>
      <c r="BO19" s="66" t="s">
        <v>1687</v>
      </c>
      <c r="BP19" s="49">
        <v>7</v>
      </c>
      <c r="BQ19" s="93" t="s">
        <v>1924</v>
      </c>
      <c r="BR19" s="49">
        <v>280</v>
      </c>
      <c r="BS19" s="21" t="s">
        <v>1799</v>
      </c>
      <c r="BT19" s="22">
        <v>7025</v>
      </c>
      <c r="BU19" s="66"/>
      <c r="BW19" s="93" t="s">
        <v>1923</v>
      </c>
      <c r="BX19" s="49" t="s">
        <v>646</v>
      </c>
      <c r="BY19" s="21" t="s">
        <v>1852</v>
      </c>
      <c r="BZ19" s="60">
        <v>7142</v>
      </c>
      <c r="CA19" s="66"/>
      <c r="CC19" s="93" t="s">
        <v>1923</v>
      </c>
      <c r="CD19" s="49" t="s">
        <v>1925</v>
      </c>
      <c r="CE19" s="21" t="s">
        <v>1852</v>
      </c>
      <c r="CF19" s="60">
        <v>11142</v>
      </c>
      <c r="CG19" s="62"/>
      <c r="CI19" s="93" t="s">
        <v>1926</v>
      </c>
      <c r="CJ19" s="66">
        <v>172</v>
      </c>
      <c r="CK19" s="21" t="s">
        <v>1915</v>
      </c>
      <c r="CL19" s="60">
        <v>527.62</v>
      </c>
      <c r="CM19" s="62"/>
      <c r="CO19" s="93" t="s">
        <v>1518</v>
      </c>
      <c r="CP19" s="107" t="s">
        <v>646</v>
      </c>
      <c r="CQ19" s="21" t="s">
        <v>1852</v>
      </c>
      <c r="CR19" s="60">
        <v>26991</v>
      </c>
      <c r="CS19" s="49" t="s">
        <v>1618</v>
      </c>
      <c r="CT19" s="66" t="s">
        <v>646</v>
      </c>
      <c r="CU19" s="94" t="s">
        <v>1927</v>
      </c>
      <c r="CV19" s="66">
        <v>70.38</v>
      </c>
      <c r="CW19" s="21" t="s">
        <v>1928</v>
      </c>
      <c r="CX19" s="60">
        <v>17242.32</v>
      </c>
      <c r="CY19" s="62"/>
      <c r="CZ19" s="66"/>
      <c r="DA19" s="93" t="s">
        <v>1929</v>
      </c>
      <c r="DB19" s="66">
        <v>51.41</v>
      </c>
      <c r="DC19" s="21" t="s">
        <v>1799</v>
      </c>
      <c r="DD19" s="60">
        <v>60</v>
      </c>
      <c r="DE19" s="62" t="s">
        <v>1930</v>
      </c>
      <c r="DF19" s="49">
        <v>192.6</v>
      </c>
      <c r="DG19" s="119" t="s">
        <v>1206</v>
      </c>
      <c r="DH19" s="51">
        <v>1800.01</v>
      </c>
      <c r="DI19" s="21" t="s">
        <v>1931</v>
      </c>
      <c r="DJ19" s="22">
        <v>2065</v>
      </c>
      <c r="DM19" s="120" t="s">
        <v>1932</v>
      </c>
      <c r="DN19" s="51">
        <v>2454.0500000000002</v>
      </c>
      <c r="DO19" s="21" t="s">
        <v>1867</v>
      </c>
      <c r="DP19" s="97">
        <v>10000</v>
      </c>
      <c r="DS19" s="93" t="s">
        <v>1698</v>
      </c>
      <c r="DT19" s="62" t="s">
        <v>1933</v>
      </c>
      <c r="DU19" s="21" t="s">
        <v>1805</v>
      </c>
      <c r="DV19" s="97">
        <v>10000</v>
      </c>
      <c r="DY19" s="71" t="s">
        <v>1934</v>
      </c>
      <c r="DZ19" s="14">
        <v>11</v>
      </c>
      <c r="EA19" s="21" t="s">
        <v>1867</v>
      </c>
      <c r="EB19" s="97">
        <v>10000</v>
      </c>
      <c r="EC19" s="564" t="s">
        <v>1641</v>
      </c>
      <c r="ED19" s="14" t="s">
        <v>646</v>
      </c>
      <c r="EE19" s="71" t="s">
        <v>1934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1935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1869</v>
      </c>
      <c r="EU19" s="99">
        <v>5000</v>
      </c>
      <c r="EV19" s="66" t="s">
        <v>1805</v>
      </c>
      <c r="EW19" s="14">
        <v>39.85</v>
      </c>
      <c r="EX19" s="169" t="s">
        <v>1866</v>
      </c>
      <c r="EY19" s="14">
        <v>145.44999999999999</v>
      </c>
      <c r="EZ19" s="54" t="s">
        <v>1869</v>
      </c>
      <c r="FA19" s="99">
        <v>0</v>
      </c>
      <c r="FB19" s="564" t="s">
        <v>1936</v>
      </c>
      <c r="FC19" s="14">
        <v>30</v>
      </c>
      <c r="FD19" s="169" t="s">
        <v>1937</v>
      </c>
      <c r="FE19" s="14">
        <f>6.5+15</f>
        <v>21.5</v>
      </c>
      <c r="FF19" s="54" t="s">
        <v>1869</v>
      </c>
      <c r="FG19" s="99">
        <v>1000</v>
      </c>
      <c r="FH19" s="66" t="s">
        <v>1938</v>
      </c>
      <c r="FI19" s="69">
        <v>7.64</v>
      </c>
      <c r="FJ19" s="169" t="s">
        <v>1939</v>
      </c>
      <c r="FK19" s="14">
        <v>64</v>
      </c>
      <c r="FL19" s="54" t="s">
        <v>1809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1940</v>
      </c>
      <c r="FV19" s="169" t="s">
        <v>1578</v>
      </c>
      <c r="FW19" s="14">
        <v>140.44999999999999</v>
      </c>
      <c r="FX19" s="54" t="s">
        <v>1941</v>
      </c>
      <c r="FY19" s="82">
        <v>39</v>
      </c>
      <c r="FZ19" s="564" t="s">
        <v>1942</v>
      </c>
      <c r="GB19" s="169" t="s">
        <v>1579</v>
      </c>
      <c r="GC19" s="14">
        <v>90.65</v>
      </c>
      <c r="GD19" s="54" t="s">
        <v>1941</v>
      </c>
      <c r="GE19" s="82">
        <v>33</v>
      </c>
      <c r="GH19" s="169" t="s">
        <v>1579</v>
      </c>
      <c r="GI19" s="14">
        <v>73.959999999999994</v>
      </c>
      <c r="GJ19" s="82" t="s">
        <v>1943</v>
      </c>
      <c r="GL19" s="564" t="s">
        <v>1944</v>
      </c>
      <c r="GN19" s="162" t="s">
        <v>1251</v>
      </c>
      <c r="GO19" s="14">
        <v>1867</v>
      </c>
      <c r="GP19" s="70" t="s">
        <v>1879</v>
      </c>
      <c r="GQ19" s="14">
        <v>2000.001</v>
      </c>
      <c r="GR19" s="14" t="s">
        <v>1945</v>
      </c>
      <c r="GS19" s="14">
        <v>1.1000000000000001</v>
      </c>
      <c r="GT19" s="169" t="s">
        <v>1946</v>
      </c>
      <c r="GU19" s="14" t="s">
        <v>1947</v>
      </c>
      <c r="GV19" s="54" t="s">
        <v>1876</v>
      </c>
      <c r="GW19" s="82">
        <v>745</v>
      </c>
      <c r="GZ19" s="169" t="s">
        <v>1948</v>
      </c>
      <c r="HA19" s="14">
        <v>77.3</v>
      </c>
      <c r="HB19" s="70" t="s">
        <v>1879</v>
      </c>
      <c r="HC19" s="14">
        <v>2041</v>
      </c>
      <c r="HD19" s="14" t="s">
        <v>1949</v>
      </c>
      <c r="HE19" s="14">
        <v>106.89</v>
      </c>
      <c r="HF19" s="162" t="s">
        <v>1950</v>
      </c>
      <c r="HG19" s="14">
        <v>12</v>
      </c>
      <c r="HH19" s="54" t="s">
        <v>1951</v>
      </c>
      <c r="HI19" s="82" t="s">
        <v>1952</v>
      </c>
      <c r="HJ19" s="199">
        <v>1580.64</v>
      </c>
      <c r="HK19" s="188" t="s">
        <v>1953</v>
      </c>
      <c r="HL19" s="152" t="s">
        <v>1954</v>
      </c>
      <c r="HM19" s="14">
        <v>20</v>
      </c>
      <c r="HN19" s="82" t="s">
        <v>1819</v>
      </c>
      <c r="HR19" s="169" t="s">
        <v>1955</v>
      </c>
      <c r="HS19" s="14">
        <v>160</v>
      </c>
      <c r="HT19" s="68" t="s">
        <v>1653</v>
      </c>
      <c r="HU19" s="14">
        <v>0</v>
      </c>
      <c r="HV19" s="193" t="s">
        <v>1956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1957</v>
      </c>
      <c r="IC19" s="224">
        <v>146.22999999999999</v>
      </c>
      <c r="ID19" s="169" t="s">
        <v>1579</v>
      </c>
      <c r="IE19" s="185">
        <v>16.18</v>
      </c>
      <c r="IF19" s="68" t="s">
        <v>1958</v>
      </c>
      <c r="IG19" s="50">
        <v>2234</v>
      </c>
      <c r="IH19" s="14" t="s">
        <v>1959</v>
      </c>
      <c r="II19" s="217">
        <v>35.67</v>
      </c>
      <c r="IJ19" s="169" t="s">
        <v>1715</v>
      </c>
      <c r="IK19" s="14">
        <v>114.44</v>
      </c>
      <c r="IL19" s="68" t="s">
        <v>1766</v>
      </c>
      <c r="IM19" s="14">
        <f>10502+14002</f>
        <v>24504</v>
      </c>
      <c r="IN19" s="14" t="s">
        <v>1769</v>
      </c>
      <c r="IO19" s="217">
        <v>5</v>
      </c>
      <c r="IP19" s="169" t="s">
        <v>1960</v>
      </c>
      <c r="IQ19" s="48">
        <f>IM29</f>
        <v>21.35</v>
      </c>
      <c r="IR19" s="54" t="s">
        <v>1961</v>
      </c>
      <c r="IS19" s="14">
        <v>170</v>
      </c>
      <c r="IT19" s="198" t="s">
        <v>1962</v>
      </c>
      <c r="IU19" s="211">
        <v>6</v>
      </c>
      <c r="IV19" s="169" t="s">
        <v>1708</v>
      </c>
      <c r="IW19" s="48">
        <f>9</f>
        <v>9</v>
      </c>
      <c r="IX19" s="68" t="s">
        <v>1963</v>
      </c>
      <c r="IY19" s="50">
        <v>10</v>
      </c>
      <c r="JB19" s="169" t="s">
        <v>1774</v>
      </c>
      <c r="JC19" s="48">
        <v>109.57</v>
      </c>
      <c r="JD19" s="68" t="s">
        <v>1964</v>
      </c>
      <c r="JE19" s="50">
        <v>0</v>
      </c>
      <c r="JH19" s="169" t="s">
        <v>1531</v>
      </c>
      <c r="JI19" s="51">
        <v>115.37</v>
      </c>
      <c r="JJ19" s="68" t="s">
        <v>1964</v>
      </c>
      <c r="JK19" s="50">
        <v>0</v>
      </c>
      <c r="JL19" s="14" t="s">
        <v>1965</v>
      </c>
      <c r="JM19" s="14">
        <v>2</v>
      </c>
      <c r="JN19" s="169" t="s">
        <v>1547</v>
      </c>
      <c r="JO19" s="48">
        <f>15+6.5+30</f>
        <v>51.5</v>
      </c>
      <c r="JP19" s="68" t="s">
        <v>1898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1966</v>
      </c>
      <c r="JW19" s="50">
        <v>240</v>
      </c>
      <c r="JX19" s="49" t="s">
        <v>1967</v>
      </c>
      <c r="JY19" s="254">
        <v>24.55</v>
      </c>
      <c r="JZ19" s="162" t="s">
        <v>1968</v>
      </c>
      <c r="KA19" s="48">
        <v>5.01</v>
      </c>
      <c r="KB19" s="54" t="s">
        <v>1966</v>
      </c>
      <c r="KC19" s="50">
        <v>220</v>
      </c>
      <c r="KD19" s="49" t="s">
        <v>1969</v>
      </c>
      <c r="KE19" s="254">
        <v>31.03</v>
      </c>
      <c r="KF19" s="152" t="s">
        <v>1970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1971</v>
      </c>
      <c r="KM19" s="85">
        <f>1413.64/10</f>
        <v>141.364</v>
      </c>
      <c r="KN19" s="54" t="s">
        <v>1972</v>
      </c>
      <c r="KO19" s="192">
        <v>-114.8</v>
      </c>
      <c r="KP19" s="49" t="s">
        <v>1973</v>
      </c>
      <c r="KQ19" s="211">
        <v>14.02</v>
      </c>
      <c r="KR19" s="72" t="s">
        <v>1974</v>
      </c>
      <c r="KS19" s="61">
        <v>170.22</v>
      </c>
      <c r="KT19" s="54" t="s">
        <v>1728</v>
      </c>
      <c r="KU19" s="99">
        <v>-479</v>
      </c>
      <c r="KV19" s="54" t="s">
        <v>1786</v>
      </c>
      <c r="KW19" s="254">
        <f>212.33+76.44+67.94</f>
        <v>356.71</v>
      </c>
      <c r="KX19" s="91" t="s">
        <v>1975</v>
      </c>
      <c r="KY19" s="66">
        <v>32</v>
      </c>
      <c r="KZ19" s="66" t="s">
        <v>1976</v>
      </c>
      <c r="LA19" s="50">
        <f>KZ20-0.99*195000</f>
        <v>-1722</v>
      </c>
      <c r="LB19" s="66" t="s">
        <v>1977</v>
      </c>
      <c r="LC19" s="14">
        <v>21.18</v>
      </c>
      <c r="LD19" s="91" t="s">
        <v>1978</v>
      </c>
      <c r="LE19" s="66">
        <v>51.99</v>
      </c>
      <c r="LF19" s="66" t="s">
        <v>1471</v>
      </c>
      <c r="LG19" s="306">
        <v>2600</v>
      </c>
      <c r="LH19" s="49" t="s">
        <v>1979</v>
      </c>
      <c r="LI19" s="254">
        <f>34.38+0.62+0.58</f>
        <v>35.58</v>
      </c>
      <c r="LJ19" s="93" t="s">
        <v>1980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1846</v>
      </c>
      <c r="LQ19" s="62">
        <v>112.57</v>
      </c>
      <c r="LR19" s="288">
        <v>192834</v>
      </c>
      <c r="LS19" s="14" t="s">
        <v>1911</v>
      </c>
      <c r="LT19" s="287" t="s">
        <v>1605</v>
      </c>
      <c r="LU19" s="287"/>
      <c r="LV19" s="72" t="s">
        <v>1981</v>
      </c>
      <c r="LW19" s="319">
        <f>153.26+10.9</f>
        <v>164.16</v>
      </c>
      <c r="LX19" s="66" t="s">
        <v>1845</v>
      </c>
      <c r="LY19" s="50">
        <f>LX20-0.99*195000</f>
        <v>-51228</v>
      </c>
      <c r="LZ19" s="287" t="s">
        <v>1605</v>
      </c>
      <c r="MA19" s="287"/>
      <c r="MB19" s="326" t="s">
        <v>1982</v>
      </c>
      <c r="MC19" s="48">
        <f>30.5+35.8+40.4+36.4+28.5</f>
        <v>171.6</v>
      </c>
      <c r="MD19" s="66" t="s">
        <v>1845</v>
      </c>
      <c r="ME19" s="50">
        <f>MD20-0.99*195000</f>
        <v>-194</v>
      </c>
      <c r="MF19" s="327" t="s">
        <v>1983</v>
      </c>
      <c r="MG19" s="48">
        <v>33.68</v>
      </c>
      <c r="MH19" s="326" t="s">
        <v>1984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3" t="s">
        <v>3489</v>
      </c>
      <c r="MS19" s="48">
        <v>489.97</v>
      </c>
      <c r="MT19" s="152" t="s">
        <v>3495</v>
      </c>
      <c r="MU19" s="48">
        <f>1.3+2.3</f>
        <v>3.5999999999999996</v>
      </c>
      <c r="MV19" s="600" t="s">
        <v>1670</v>
      </c>
      <c r="MW19" s="249"/>
      <c r="MX19" s="587" t="s">
        <v>3509</v>
      </c>
      <c r="MY19" s="328">
        <v>94.9</v>
      </c>
      <c r="MZ19" s="604" t="s">
        <v>3502</v>
      </c>
      <c r="NA19" s="48">
        <v>98.8</v>
      </c>
      <c r="NB19" s="655">
        <v>16</v>
      </c>
      <c r="NC19" s="653" t="s">
        <v>3552</v>
      </c>
      <c r="ND19" s="654" t="s">
        <v>3505</v>
      </c>
      <c r="NF19" s="604" t="s">
        <v>3554</v>
      </c>
      <c r="NG19" s="48">
        <v>34.5</v>
      </c>
      <c r="NH19" s="664" t="s">
        <v>3565</v>
      </c>
      <c r="NI19" s="675">
        <f>NH20-0.99*195000</f>
        <v>1241</v>
      </c>
      <c r="NJ19" s="611"/>
      <c r="NK19" s="50"/>
    </row>
    <row r="20" spans="1:375">
      <c r="A20" s="21" t="s">
        <v>1852</v>
      </c>
      <c r="B20" s="60">
        <v>1218</v>
      </c>
      <c r="E20" s="63"/>
      <c r="F20" s="63"/>
      <c r="G20" s="21" t="s">
        <v>1852</v>
      </c>
      <c r="H20" s="60">
        <v>1218</v>
      </c>
      <c r="K20" s="63"/>
      <c r="M20" s="21"/>
      <c r="N20" s="60"/>
      <c r="Q20" s="63" t="s">
        <v>346</v>
      </c>
      <c r="S20" s="21" t="s">
        <v>1928</v>
      </c>
      <c r="T20" s="60">
        <v>3800</v>
      </c>
      <c r="W20" s="71" t="s">
        <v>1617</v>
      </c>
      <c r="X20" s="14">
        <v>0</v>
      </c>
      <c r="Y20" s="21" t="s">
        <v>1915</v>
      </c>
      <c r="Z20" s="60">
        <v>550</v>
      </c>
      <c r="AC20" s="72" t="s">
        <v>1986</v>
      </c>
      <c r="AD20" s="14">
        <v>132.35</v>
      </c>
      <c r="AE20" s="21" t="s">
        <v>1852</v>
      </c>
      <c r="AF20" s="60">
        <v>1142</v>
      </c>
      <c r="AI20" s="72" t="s">
        <v>1986</v>
      </c>
      <c r="AJ20" s="14">
        <v>250</v>
      </c>
      <c r="AK20" s="21" t="s">
        <v>1852</v>
      </c>
      <c r="AL20" s="60">
        <v>1142</v>
      </c>
      <c r="AO20" s="71" t="s">
        <v>1680</v>
      </c>
      <c r="AP20" s="66">
        <v>0</v>
      </c>
      <c r="AQ20" s="21" t="s">
        <v>1852</v>
      </c>
      <c r="AR20" s="60">
        <v>1142</v>
      </c>
      <c r="AU20" s="71" t="s">
        <v>1680</v>
      </c>
      <c r="AV20" s="66" t="s">
        <v>646</v>
      </c>
      <c r="AW20" s="21" t="s">
        <v>1852</v>
      </c>
      <c r="AX20" s="60">
        <v>1142</v>
      </c>
      <c r="AY20" s="71"/>
      <c r="AZ20" s="66"/>
      <c r="BA20" s="21" t="s">
        <v>1852</v>
      </c>
      <c r="BB20" s="60">
        <f t="shared" si="0"/>
        <v>1142</v>
      </c>
      <c r="BC20" s="14" t="s">
        <v>1987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1852</v>
      </c>
      <c r="BH20" s="60">
        <v>1142</v>
      </c>
      <c r="BI20" s="62"/>
      <c r="BK20" s="93" t="s">
        <v>1518</v>
      </c>
      <c r="BL20" s="66" t="s">
        <v>646</v>
      </c>
      <c r="BM20" s="21" t="s">
        <v>1852</v>
      </c>
      <c r="BN20" s="60">
        <v>1142</v>
      </c>
      <c r="BO20" s="62"/>
      <c r="BQ20" s="93" t="s">
        <v>1518</v>
      </c>
      <c r="BR20" s="66" t="s">
        <v>646</v>
      </c>
      <c r="BS20" s="21" t="s">
        <v>1852</v>
      </c>
      <c r="BT20" s="22">
        <v>1142</v>
      </c>
      <c r="BU20" s="62"/>
      <c r="BW20" s="93" t="s">
        <v>1518</v>
      </c>
      <c r="BX20" s="66" t="s">
        <v>646</v>
      </c>
      <c r="BY20" s="21" t="s">
        <v>1915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1915</v>
      </c>
      <c r="CF20" s="60">
        <v>527.62</v>
      </c>
      <c r="CI20" s="93" t="s">
        <v>1518</v>
      </c>
      <c r="CJ20" s="107">
        <v>1316.1</v>
      </c>
      <c r="CK20" s="21" t="s">
        <v>1928</v>
      </c>
      <c r="CL20" s="60">
        <v>17242.32</v>
      </c>
      <c r="CO20" s="93" t="s">
        <v>1680</v>
      </c>
      <c r="CP20" s="66" t="s">
        <v>646</v>
      </c>
      <c r="CQ20" s="21" t="s">
        <v>1915</v>
      </c>
      <c r="CR20" s="60">
        <v>527.62</v>
      </c>
      <c r="CS20" s="62" t="s">
        <v>1242</v>
      </c>
      <c r="CU20" s="94" t="s">
        <v>1988</v>
      </c>
      <c r="CV20" s="66">
        <v>45.3</v>
      </c>
      <c r="CW20" s="21" t="s">
        <v>1915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1928</v>
      </c>
      <c r="DD20" s="60">
        <v>17242</v>
      </c>
      <c r="DE20" s="62" t="s">
        <v>1989</v>
      </c>
      <c r="DF20" s="49">
        <v>100</v>
      </c>
      <c r="DG20" s="119" t="s">
        <v>1990</v>
      </c>
      <c r="DH20" s="51">
        <v>30.01</v>
      </c>
      <c r="DI20" s="21" t="s">
        <v>1991</v>
      </c>
      <c r="DJ20" s="97">
        <v>10000</v>
      </c>
      <c r="DK20" s="579" t="s">
        <v>1992</v>
      </c>
      <c r="DM20" s="120" t="s">
        <v>1817</v>
      </c>
      <c r="DN20" s="51">
        <v>420</v>
      </c>
      <c r="DO20" s="21" t="s">
        <v>1993</v>
      </c>
      <c r="DP20" s="97">
        <v>10000</v>
      </c>
      <c r="DQ20" s="579" t="s">
        <v>1641</v>
      </c>
      <c r="DS20" s="93" t="s">
        <v>1747</v>
      </c>
      <c r="DT20" s="62">
        <v>49.07</v>
      </c>
      <c r="DU20" s="21" t="s">
        <v>1867</v>
      </c>
      <c r="DV20" s="97">
        <v>10000</v>
      </c>
      <c r="DY20" s="71" t="s">
        <v>1939</v>
      </c>
      <c r="DZ20" s="14" t="s">
        <v>1994</v>
      </c>
      <c r="EA20" s="21"/>
      <c r="EB20" s="97"/>
      <c r="EE20" s="71" t="s">
        <v>1939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1866</v>
      </c>
      <c r="EM20" s="14">
        <v>158.44999999999999</v>
      </c>
      <c r="EN20" s="54" t="s">
        <v>1995</v>
      </c>
      <c r="EO20" s="99">
        <f>5000+5000</f>
        <v>10000</v>
      </c>
      <c r="ER20" s="169" t="s">
        <v>1866</v>
      </c>
      <c r="ES20" s="14">
        <v>136.79</v>
      </c>
      <c r="ET20" s="54" t="s">
        <v>1868</v>
      </c>
      <c r="EU20" s="99">
        <v>7000</v>
      </c>
      <c r="EV20" s="66" t="s">
        <v>1996</v>
      </c>
      <c r="EW20" s="14">
        <v>15</v>
      </c>
      <c r="EX20" s="169" t="s">
        <v>1934</v>
      </c>
      <c r="EY20" s="14" t="s">
        <v>1997</v>
      </c>
      <c r="EZ20" s="54" t="s">
        <v>1869</v>
      </c>
      <c r="FA20" s="99">
        <v>1000</v>
      </c>
      <c r="FB20" s="14" t="s">
        <v>1996</v>
      </c>
      <c r="FC20" s="14">
        <v>8.7100000000000009</v>
      </c>
      <c r="FD20" s="169" t="s">
        <v>1998</v>
      </c>
      <c r="FE20" s="14">
        <v>32</v>
      </c>
      <c r="FF20" s="54" t="s">
        <v>1869</v>
      </c>
      <c r="FG20" s="99">
        <v>1000</v>
      </c>
      <c r="FH20" s="66"/>
      <c r="FI20" s="69"/>
      <c r="FJ20" s="169" t="s">
        <v>1999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1807</v>
      </c>
      <c r="FQ20" s="14">
        <f>20+20+31</f>
        <v>71</v>
      </c>
      <c r="FR20" s="54" t="s">
        <v>1809</v>
      </c>
      <c r="FS20" s="99">
        <v>25000</v>
      </c>
      <c r="FT20" s="580" t="s">
        <v>2000</v>
      </c>
      <c r="FU20" s="14">
        <v>1200</v>
      </c>
      <c r="FV20" s="169" t="s">
        <v>1547</v>
      </c>
      <c r="FW20" s="14">
        <f>6.5+15</f>
        <v>21.5</v>
      </c>
      <c r="FX20" s="54" t="s">
        <v>2001</v>
      </c>
      <c r="FY20" s="99">
        <v>209</v>
      </c>
      <c r="FZ20" s="14" t="s">
        <v>2002</v>
      </c>
      <c r="GA20" s="14">
        <f>207-202</f>
        <v>5</v>
      </c>
      <c r="GB20" s="169" t="s">
        <v>2003</v>
      </c>
      <c r="GC20" s="14">
        <v>126.93</v>
      </c>
      <c r="GD20" s="54" t="s">
        <v>2001</v>
      </c>
      <c r="GE20" s="99">
        <v>1202</v>
      </c>
      <c r="GF20" s="14" t="s">
        <v>1175</v>
      </c>
      <c r="GG20" s="17"/>
      <c r="GH20" s="169" t="s">
        <v>2003</v>
      </c>
      <c r="GI20" s="14">
        <v>95.54</v>
      </c>
      <c r="GJ20" s="54" t="s">
        <v>1876</v>
      </c>
      <c r="GK20" s="82">
        <v>744</v>
      </c>
      <c r="GL20" s="14" t="s">
        <v>2004</v>
      </c>
      <c r="GM20" s="14">
        <f>1966-2002</f>
        <v>-36</v>
      </c>
      <c r="GN20" s="169" t="s">
        <v>1882</v>
      </c>
      <c r="GO20" s="14" t="s">
        <v>2005</v>
      </c>
      <c r="GP20" s="54" t="s">
        <v>1876</v>
      </c>
      <c r="GQ20" s="82">
        <v>745</v>
      </c>
      <c r="GR20" s="74" t="s">
        <v>2006</v>
      </c>
      <c r="GS20" s="14">
        <v>128.33000000000001</v>
      </c>
      <c r="GT20" s="169" t="s">
        <v>1578</v>
      </c>
      <c r="GU20" s="14">
        <v>140.44999999999999</v>
      </c>
      <c r="GV20" s="54" t="s">
        <v>1941</v>
      </c>
      <c r="GW20" s="82">
        <v>33</v>
      </c>
      <c r="GZ20" s="169" t="s">
        <v>1946</v>
      </c>
      <c r="HA20" s="14">
        <v>97.12</v>
      </c>
      <c r="HB20" s="54" t="s">
        <v>1876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2007</v>
      </c>
      <c r="HL20" s="152" t="s">
        <v>2008</v>
      </c>
      <c r="HM20" s="14">
        <v>33.5</v>
      </c>
      <c r="HN20" s="70" t="s">
        <v>1879</v>
      </c>
      <c r="HO20" s="14">
        <v>1000</v>
      </c>
      <c r="HR20" s="169" t="s">
        <v>2009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1765</v>
      </c>
      <c r="IB20" s="226" t="s">
        <v>2010</v>
      </c>
      <c r="IC20" s="227">
        <v>626.70000000000005</v>
      </c>
      <c r="ID20" s="169" t="s">
        <v>1457</v>
      </c>
      <c r="IE20" s="185" t="s">
        <v>2011</v>
      </c>
      <c r="IF20" s="68" t="s">
        <v>2012</v>
      </c>
      <c r="IG20" s="50">
        <v>60000</v>
      </c>
      <c r="IH20" s="14" t="s">
        <v>2013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2012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2014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2015</v>
      </c>
      <c r="IY20" s="14">
        <v>190</v>
      </c>
      <c r="IZ20" s="193"/>
      <c r="JA20" s="211"/>
      <c r="JB20" s="169" t="s">
        <v>2016</v>
      </c>
      <c r="JC20" s="48">
        <f>10+30</f>
        <v>40</v>
      </c>
      <c r="JD20" s="68" t="s">
        <v>1898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2017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1966</v>
      </c>
      <c r="JQ20" s="50">
        <v>210</v>
      </c>
      <c r="JR20" s="257" t="s">
        <v>2018</v>
      </c>
      <c r="JS20" s="259">
        <v>15.42</v>
      </c>
      <c r="JT20" s="169" t="s">
        <v>2019</v>
      </c>
      <c r="JU20" s="48">
        <f>64+64+3</f>
        <v>131</v>
      </c>
      <c r="JV20" s="54" t="s">
        <v>2020</v>
      </c>
      <c r="JW20" s="99"/>
      <c r="JX20" s="49" t="s">
        <v>2021</v>
      </c>
      <c r="JY20" s="254">
        <v>27.05</v>
      </c>
      <c r="JZ20" s="162" t="s">
        <v>2022</v>
      </c>
      <c r="KA20" s="14">
        <v>10.87</v>
      </c>
      <c r="KB20" s="54" t="s">
        <v>2020</v>
      </c>
      <c r="KC20" s="50"/>
      <c r="KD20" s="49" t="s">
        <v>2023</v>
      </c>
      <c r="KE20" s="254" t="s">
        <v>2024</v>
      </c>
      <c r="KF20" s="152" t="s">
        <v>2025</v>
      </c>
      <c r="KG20" s="14">
        <v>135.69999999999999</v>
      </c>
      <c r="KH20" s="66" t="s">
        <v>2026</v>
      </c>
      <c r="KI20" s="14">
        <f>KH21-0.99*195000</f>
        <v>-242</v>
      </c>
      <c r="KJ20" s="49" t="s">
        <v>2027</v>
      </c>
      <c r="KK20" s="254">
        <v>33</v>
      </c>
      <c r="KL20" s="72" t="s">
        <v>2028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1976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2029</v>
      </c>
      <c r="KY20" s="66">
        <f>466.26+15.92</f>
        <v>482.18</v>
      </c>
      <c r="KZ20" s="288">
        <v>191328</v>
      </c>
      <c r="LB20" s="66" t="s">
        <v>2030</v>
      </c>
      <c r="LC20" s="211">
        <v>35.44</v>
      </c>
      <c r="LD20" s="91" t="s">
        <v>2031</v>
      </c>
      <c r="LE20" s="66">
        <v>83.17</v>
      </c>
      <c r="LF20" s="68" t="s">
        <v>1528</v>
      </c>
      <c r="LG20" s="50">
        <v>843</v>
      </c>
      <c r="LH20" s="66" t="s">
        <v>2032</v>
      </c>
      <c r="LI20" s="254">
        <v>676.21</v>
      </c>
      <c r="LJ20" s="77" t="s">
        <v>1842</v>
      </c>
      <c r="LK20" s="254">
        <f>1291.31-LK21</f>
        <v>1154.33</v>
      </c>
      <c r="LL20" s="68" t="s">
        <v>1528</v>
      </c>
      <c r="LM20" s="50">
        <v>695</v>
      </c>
      <c r="LN20" s="66" t="s">
        <v>2033</v>
      </c>
      <c r="LO20" s="254">
        <v>36</v>
      </c>
      <c r="LP20" s="93" t="s">
        <v>2034</v>
      </c>
      <c r="LQ20" s="62">
        <f>38.8+16.8</f>
        <v>55.599999999999994</v>
      </c>
      <c r="LR20" s="66" t="s">
        <v>1471</v>
      </c>
      <c r="LS20" s="50">
        <v>2601</v>
      </c>
      <c r="LT20" s="66" t="s">
        <v>2035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1911</v>
      </c>
      <c r="LZ20" s="66" t="s">
        <v>2036</v>
      </c>
      <c r="MA20" s="48">
        <v>149.6</v>
      </c>
      <c r="MB20" s="326" t="s">
        <v>2037</v>
      </c>
      <c r="MC20" s="48">
        <v>22</v>
      </c>
      <c r="MD20" s="288">
        <v>192856</v>
      </c>
      <c r="ME20" s="43" t="s">
        <v>2038</v>
      </c>
      <c r="MF20" s="327" t="s">
        <v>2090</v>
      </c>
      <c r="MG20" s="48">
        <v>1.7</v>
      </c>
      <c r="MH20" s="326" t="s">
        <v>2039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3417</v>
      </c>
      <c r="MO20" s="48">
        <f>20+20+20</f>
        <v>60</v>
      </c>
      <c r="MP20" s="54" t="s">
        <v>1728</v>
      </c>
      <c r="MQ20" s="99">
        <v>-1735</v>
      </c>
      <c r="MR20" s="587" t="s">
        <v>3490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599" t="s">
        <v>1728</v>
      </c>
      <c r="MW20" s="99">
        <v>-1751</v>
      </c>
      <c r="MX20" s="613" t="s">
        <v>3519</v>
      </c>
      <c r="MY20" s="48">
        <v>81.81</v>
      </c>
      <c r="MZ20" s="604" t="s">
        <v>3544</v>
      </c>
      <c r="NA20" s="618">
        <v>29.6</v>
      </c>
      <c r="NB20" s="648" t="s">
        <v>1787</v>
      </c>
      <c r="NC20" s="586">
        <v>-40</v>
      </c>
      <c r="ND20" s="669" t="s">
        <v>1605</v>
      </c>
      <c r="NE20" s="669"/>
      <c r="NF20" s="604" t="s">
        <v>3555</v>
      </c>
      <c r="NG20" s="618">
        <f>15+14.3</f>
        <v>29.3</v>
      </c>
      <c r="NH20" s="288">
        <v>194291</v>
      </c>
      <c r="NI20" s="43" t="s">
        <v>2038</v>
      </c>
      <c r="NJ20" s="336">
        <v>45533</v>
      </c>
      <c r="NK20" s="288"/>
    </row>
    <row r="21" spans="1:375">
      <c r="A21" s="21" t="s">
        <v>1914</v>
      </c>
      <c r="B21" s="60">
        <v>551</v>
      </c>
      <c r="E21" s="64"/>
      <c r="F21" s="63"/>
      <c r="G21" s="21" t="s">
        <v>1914</v>
      </c>
      <c r="H21" s="60">
        <v>551</v>
      </c>
      <c r="K21" s="71" t="s">
        <v>1617</v>
      </c>
      <c r="L21" s="14">
        <v>0</v>
      </c>
      <c r="M21" s="722" t="s">
        <v>330</v>
      </c>
      <c r="N21" s="722"/>
      <c r="Q21" s="63" t="s">
        <v>355</v>
      </c>
      <c r="S21" s="722" t="s">
        <v>330</v>
      </c>
      <c r="T21" s="722"/>
      <c r="W21" s="71" t="s">
        <v>1680</v>
      </c>
      <c r="X21" s="14">
        <v>0</v>
      </c>
      <c r="Y21" s="21" t="s">
        <v>1928</v>
      </c>
      <c r="Z21" s="60">
        <v>13800</v>
      </c>
      <c r="AC21" s="72" t="s">
        <v>2041</v>
      </c>
      <c r="AD21" s="14">
        <v>0</v>
      </c>
      <c r="AE21" s="21" t="s">
        <v>1915</v>
      </c>
      <c r="AF21" s="60">
        <v>527</v>
      </c>
      <c r="AI21" s="72" t="s">
        <v>2041</v>
      </c>
      <c r="AJ21" s="66">
        <v>64</v>
      </c>
      <c r="AK21" s="21" t="s">
        <v>1915</v>
      </c>
      <c r="AL21" s="60">
        <v>527</v>
      </c>
      <c r="AM21" s="14" t="s">
        <v>1686</v>
      </c>
      <c r="AN21" s="14">
        <v>2200</v>
      </c>
      <c r="AO21" s="71" t="s">
        <v>2042</v>
      </c>
      <c r="AP21" s="66">
        <v>325</v>
      </c>
      <c r="AQ21" s="21" t="s">
        <v>1915</v>
      </c>
      <c r="AR21" s="60">
        <v>527</v>
      </c>
      <c r="AU21" s="71" t="s">
        <v>1923</v>
      </c>
      <c r="AV21" s="66" t="s">
        <v>646</v>
      </c>
      <c r="AW21" s="21" t="s">
        <v>1915</v>
      </c>
      <c r="AX21" s="60">
        <v>527.62</v>
      </c>
      <c r="AY21" s="71"/>
      <c r="AZ21" s="66"/>
      <c r="BA21" s="21" t="s">
        <v>1915</v>
      </c>
      <c r="BB21" s="60">
        <f t="shared" si="0"/>
        <v>527.62</v>
      </c>
      <c r="BC21" s="62"/>
      <c r="BE21" s="71" t="s">
        <v>1680</v>
      </c>
      <c r="BF21" s="66"/>
      <c r="BG21" s="21" t="s">
        <v>1915</v>
      </c>
      <c r="BH21" s="60">
        <v>527.62</v>
      </c>
      <c r="BK21" s="93" t="s">
        <v>1680</v>
      </c>
      <c r="BL21" s="66" t="s">
        <v>646</v>
      </c>
      <c r="BM21" s="21" t="s">
        <v>1915</v>
      </c>
      <c r="BN21" s="60">
        <v>527.62</v>
      </c>
      <c r="BO21" s="62" t="s">
        <v>2043</v>
      </c>
      <c r="BP21" s="49">
        <v>4.5</v>
      </c>
      <c r="BQ21" s="93" t="s">
        <v>1680</v>
      </c>
      <c r="BR21" s="66" t="s">
        <v>646</v>
      </c>
      <c r="BS21" s="21" t="s">
        <v>1915</v>
      </c>
      <c r="BT21" s="22">
        <v>527.62</v>
      </c>
      <c r="BU21" s="62"/>
      <c r="BW21" s="93" t="s">
        <v>1680</v>
      </c>
      <c r="BX21" s="66" t="s">
        <v>646</v>
      </c>
      <c r="BY21" s="21" t="s">
        <v>1928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1928</v>
      </c>
      <c r="CF21" s="60">
        <v>22203.86</v>
      </c>
      <c r="CI21" s="93" t="s">
        <v>1680</v>
      </c>
      <c r="CJ21" s="66" t="s">
        <v>646</v>
      </c>
      <c r="CK21" s="21" t="s">
        <v>2044</v>
      </c>
      <c r="CL21" s="60" t="s">
        <v>646</v>
      </c>
      <c r="CO21" s="94" t="s">
        <v>1698</v>
      </c>
      <c r="CP21" s="66" t="s">
        <v>2045</v>
      </c>
      <c r="CQ21" s="21" t="s">
        <v>1928</v>
      </c>
      <c r="CR21" s="60">
        <v>17242.32</v>
      </c>
      <c r="CS21" s="62"/>
      <c r="CU21" s="94" t="s">
        <v>1547</v>
      </c>
      <c r="CV21" s="66">
        <v>13</v>
      </c>
      <c r="CW21" s="21" t="s">
        <v>1852</v>
      </c>
      <c r="CX21" s="60">
        <f>26991+10000</f>
        <v>36991</v>
      </c>
      <c r="DA21" s="93" t="s">
        <v>1866</v>
      </c>
      <c r="DB21" s="66">
        <v>119.11</v>
      </c>
      <c r="DC21" s="21" t="s">
        <v>1915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2046</v>
      </c>
      <c r="DJ21" s="97">
        <v>10000</v>
      </c>
      <c r="DK21" s="66" t="s">
        <v>1871</v>
      </c>
      <c r="DL21" s="49">
        <f>10027-10000</f>
        <v>27</v>
      </c>
      <c r="DM21" s="121" t="s">
        <v>1802</v>
      </c>
      <c r="DO21" s="21"/>
      <c r="DP21" s="97"/>
      <c r="DQ21" s="66" t="s">
        <v>1748</v>
      </c>
      <c r="DR21" s="62">
        <v>80.19</v>
      </c>
      <c r="DS21" s="93" t="s">
        <v>2047</v>
      </c>
      <c r="DT21" s="62">
        <f>6.5+15+171+12</f>
        <v>204.5</v>
      </c>
      <c r="DU21" s="21"/>
      <c r="DV21" s="97"/>
      <c r="DY21" s="71" t="s">
        <v>2048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2048</v>
      </c>
      <c r="EF21" s="14">
        <f>12.24+16.64+6.43+4+7.12+8</f>
        <v>54.43</v>
      </c>
      <c r="EH21" s="54" t="s">
        <v>1806</v>
      </c>
      <c r="EI21" s="99">
        <v>5000</v>
      </c>
      <c r="EJ21" s="14" t="s">
        <v>2049</v>
      </c>
      <c r="EK21" s="14">
        <v>57.67</v>
      </c>
      <c r="EL21" s="71" t="s">
        <v>1934</v>
      </c>
      <c r="EM21" s="14">
        <v>11</v>
      </c>
      <c r="EN21" s="54" t="s">
        <v>1695</v>
      </c>
      <c r="EO21" s="99">
        <v>10000</v>
      </c>
      <c r="ER21" s="169" t="s">
        <v>1934</v>
      </c>
      <c r="ES21" s="14">
        <v>11</v>
      </c>
      <c r="ET21" s="54" t="s">
        <v>2050</v>
      </c>
      <c r="EU21" s="99">
        <v>12000</v>
      </c>
      <c r="EV21" s="66" t="s">
        <v>2051</v>
      </c>
      <c r="EW21" s="14">
        <v>18</v>
      </c>
      <c r="EX21" s="169" t="s">
        <v>1939</v>
      </c>
      <c r="EY21" s="14">
        <f>64+64</f>
        <v>128</v>
      </c>
      <c r="EZ21" s="54" t="s">
        <v>1868</v>
      </c>
      <c r="FA21" s="99">
        <v>8000</v>
      </c>
      <c r="FB21" s="66" t="s">
        <v>2052</v>
      </c>
      <c r="FC21" s="734" t="s">
        <v>2053</v>
      </c>
      <c r="FD21" s="169" t="s">
        <v>1395</v>
      </c>
      <c r="FE21" s="14">
        <v>9</v>
      </c>
      <c r="FF21" s="54" t="s">
        <v>1868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1869</v>
      </c>
      <c r="FM21" s="99">
        <v>0</v>
      </c>
      <c r="FN21" s="564" t="s">
        <v>2054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2055</v>
      </c>
      <c r="FU21" s="14">
        <v>200</v>
      </c>
      <c r="FV21" s="169" t="s">
        <v>2056</v>
      </c>
      <c r="FW21" s="14">
        <v>10.96</v>
      </c>
      <c r="FX21" s="54" t="s">
        <v>1571</v>
      </c>
      <c r="FY21" s="99">
        <v>3000</v>
      </c>
      <c r="FZ21" s="14" t="s">
        <v>2057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1941</v>
      </c>
      <c r="GK21" s="82">
        <v>33</v>
      </c>
      <c r="GL21" s="14" t="s">
        <v>2004</v>
      </c>
      <c r="GM21" s="14">
        <f>819.61-808</f>
        <v>11.610000000000014</v>
      </c>
      <c r="GN21" s="169" t="s">
        <v>2003</v>
      </c>
      <c r="GO21" s="14">
        <v>111.54</v>
      </c>
      <c r="GP21" s="54" t="s">
        <v>1941</v>
      </c>
      <c r="GQ21" s="82">
        <v>33</v>
      </c>
      <c r="GR21" s="14" t="s">
        <v>2058</v>
      </c>
      <c r="GS21" s="17"/>
      <c r="GT21" s="169" t="s">
        <v>2059</v>
      </c>
      <c r="GU21" s="14">
        <f>9.01+15+6.5</f>
        <v>30.509999999999998</v>
      </c>
      <c r="GV21" s="54" t="s">
        <v>2001</v>
      </c>
      <c r="GW21" s="99">
        <v>48</v>
      </c>
      <c r="GZ21" s="169" t="s">
        <v>1578</v>
      </c>
      <c r="HA21" s="14">
        <v>140.44999999999999</v>
      </c>
      <c r="HB21" s="54" t="s">
        <v>1941</v>
      </c>
      <c r="HC21" s="82">
        <v>0</v>
      </c>
      <c r="HD21" s="14" t="s">
        <v>2060</v>
      </c>
      <c r="HF21" s="169" t="s">
        <v>2061</v>
      </c>
      <c r="HG21" s="66">
        <v>85</v>
      </c>
      <c r="HH21" s="54" t="s">
        <v>2062</v>
      </c>
      <c r="HI21" s="99">
        <v>4000</v>
      </c>
      <c r="HK21" s="188"/>
      <c r="HL21" s="152" t="s">
        <v>2063</v>
      </c>
      <c r="HM21" s="14">
        <v>48.88</v>
      </c>
      <c r="HN21" s="54" t="s">
        <v>1461</v>
      </c>
      <c r="HO21" s="99">
        <v>3000</v>
      </c>
      <c r="HR21" s="169" t="s">
        <v>2064</v>
      </c>
      <c r="HS21" s="14">
        <v>64</v>
      </c>
      <c r="HT21" s="68" t="s">
        <v>2065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1888</v>
      </c>
      <c r="IA21" s="85">
        <v>345026.96</v>
      </c>
      <c r="IB21" s="228" t="s">
        <v>2010</v>
      </c>
      <c r="IC21" s="229">
        <v>598.5</v>
      </c>
      <c r="ID21" s="169" t="s">
        <v>2066</v>
      </c>
      <c r="IE21" s="14">
        <v>137.03</v>
      </c>
      <c r="IF21" s="68" t="s">
        <v>2067</v>
      </c>
      <c r="IG21" s="50">
        <v>50001</v>
      </c>
      <c r="IH21" s="14" t="s">
        <v>2068</v>
      </c>
      <c r="II21" s="14">
        <v>18</v>
      </c>
      <c r="IJ21" s="169" t="s">
        <v>1708</v>
      </c>
      <c r="IK21" s="14">
        <v>9</v>
      </c>
      <c r="IL21" s="68" t="s">
        <v>1888</v>
      </c>
      <c r="IM21" s="17">
        <v>65005</v>
      </c>
      <c r="IO21" s="217"/>
      <c r="IP21" s="152" t="s">
        <v>2069</v>
      </c>
      <c r="IQ21" s="48">
        <v>30</v>
      </c>
      <c r="IR21" s="70" t="s">
        <v>2070</v>
      </c>
      <c r="IS21" s="14">
        <v>2007</v>
      </c>
      <c r="IT21" s="198"/>
      <c r="IV21" s="152" t="s">
        <v>2071</v>
      </c>
      <c r="IW21" s="48">
        <v>80</v>
      </c>
      <c r="IX21" s="70" t="s">
        <v>2070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1966</v>
      </c>
      <c r="JE21" s="14">
        <v>130</v>
      </c>
      <c r="JF21" s="193"/>
      <c r="JG21" s="211"/>
      <c r="JH21" s="169" t="s">
        <v>2072</v>
      </c>
      <c r="JI21" s="48">
        <v>27</v>
      </c>
      <c r="JJ21" s="68" t="s">
        <v>1898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2020</v>
      </c>
      <c r="JQ21" s="50"/>
      <c r="JR21" s="260" t="s">
        <v>2073</v>
      </c>
      <c r="JS21" s="261">
        <f>783.33+1167.38+1493.5+2179.3</f>
        <v>5623.51</v>
      </c>
      <c r="JT21" s="169" t="s">
        <v>1779</v>
      </c>
      <c r="JU21" s="48">
        <v>6.97</v>
      </c>
      <c r="JV21" s="70" t="s">
        <v>2070</v>
      </c>
      <c r="JW21" s="50">
        <v>1000</v>
      </c>
      <c r="JX21" s="49" t="s">
        <v>2074</v>
      </c>
      <c r="JY21" s="254">
        <v>13.23</v>
      </c>
      <c r="JZ21" s="77" t="s">
        <v>1469</v>
      </c>
      <c r="KA21" s="217">
        <v>1347.2</v>
      </c>
      <c r="KB21" s="70" t="s">
        <v>2070</v>
      </c>
      <c r="KC21" s="50">
        <v>1000</v>
      </c>
      <c r="KD21" s="54" t="s">
        <v>2075</v>
      </c>
      <c r="KE21" s="211">
        <f>63.91+71.9+199.73+2.07</f>
        <v>337.60999999999996</v>
      </c>
      <c r="KF21" s="152" t="s">
        <v>2076</v>
      </c>
      <c r="KG21" s="106">
        <v>10</v>
      </c>
      <c r="KH21" s="288">
        <v>192808</v>
      </c>
      <c r="KJ21" s="49" t="s">
        <v>2077</v>
      </c>
      <c r="KK21" s="254">
        <v>20.67</v>
      </c>
      <c r="KL21" s="72" t="s">
        <v>1474</v>
      </c>
      <c r="KM21" s="48">
        <v>81.91</v>
      </c>
      <c r="KN21" s="66" t="s">
        <v>2078</v>
      </c>
      <c r="KO21" s="50">
        <f>KN22-0.99*195000</f>
        <v>-55900</v>
      </c>
      <c r="KP21" s="66" t="s">
        <v>2079</v>
      </c>
      <c r="KQ21" s="14">
        <v>1895.66</v>
      </c>
      <c r="KR21" s="72" t="s">
        <v>2080</v>
      </c>
      <c r="KS21" s="48">
        <v>30</v>
      </c>
      <c r="KT21" s="288">
        <v>192582</v>
      </c>
      <c r="KV21" s="66" t="s">
        <v>2081</v>
      </c>
      <c r="KW21" s="14">
        <v>546.92999999999995</v>
      </c>
      <c r="KX21" s="91" t="s">
        <v>2082</v>
      </c>
      <c r="KY21" s="66">
        <v>20.05</v>
      </c>
      <c r="KZ21" s="66" t="s">
        <v>1471</v>
      </c>
      <c r="LA21" s="50">
        <v>2600</v>
      </c>
      <c r="LB21" s="66" t="s">
        <v>2083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2084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2085</v>
      </c>
      <c r="LQ21" s="61">
        <v>92.66</v>
      </c>
      <c r="LR21" s="68" t="s">
        <v>1528</v>
      </c>
      <c r="LS21" s="50">
        <v>841</v>
      </c>
      <c r="LT21" s="320" t="s">
        <v>2086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2087</v>
      </c>
      <c r="LY21" s="50">
        <v>2600</v>
      </c>
      <c r="LZ21" s="320" t="s">
        <v>2088</v>
      </c>
      <c r="MA21" s="328">
        <f>74.6+18.65</f>
        <v>93.25</v>
      </c>
      <c r="MB21" s="326" t="s">
        <v>2089</v>
      </c>
      <c r="MC21" s="48">
        <v>7.5</v>
      </c>
      <c r="MD21" s="66" t="s">
        <v>2087</v>
      </c>
      <c r="ME21" s="50">
        <v>2600</v>
      </c>
      <c r="MF21" s="14" t="s">
        <v>1404</v>
      </c>
      <c r="MG21" s="48">
        <v>12.26</v>
      </c>
      <c r="MH21" s="326" t="s">
        <v>3422</v>
      </c>
      <c r="MI21" s="315">
        <v>2679.34</v>
      </c>
      <c r="MJ21" s="70" t="s">
        <v>1787</v>
      </c>
      <c r="MK21" s="172">
        <v>30</v>
      </c>
      <c r="ML21" s="329"/>
      <c r="MM21" s="328"/>
      <c r="MN21" s="326" t="s">
        <v>3416</v>
      </c>
      <c r="MO21" s="48">
        <f>4+5+10</f>
        <v>19</v>
      </c>
      <c r="MP21" s="70" t="s">
        <v>1787</v>
      </c>
      <c r="MQ21" s="586">
        <v>-20</v>
      </c>
      <c r="MR21" s="320" t="s">
        <v>3488</v>
      </c>
      <c r="MS21" s="328">
        <v>473.7</v>
      </c>
      <c r="MT21" s="604" t="s">
        <v>3476</v>
      </c>
      <c r="MU21" s="48">
        <v>60</v>
      </c>
      <c r="MV21" s="602" t="s">
        <v>1787</v>
      </c>
      <c r="MW21" s="586">
        <v>10.000999999999999</v>
      </c>
      <c r="MX21" s="587" t="s">
        <v>3508</v>
      </c>
      <c r="MY21" s="328">
        <v>101.1</v>
      </c>
      <c r="MZ21" s="604" t="s">
        <v>3514</v>
      </c>
      <c r="NA21" s="61">
        <v>30.5</v>
      </c>
      <c r="NB21" s="644" t="s">
        <v>3497</v>
      </c>
      <c r="NC21" s="50">
        <f>NB22-0.99*195000</f>
        <v>-305</v>
      </c>
      <c r="NF21" s="604" t="s">
        <v>3564</v>
      </c>
      <c r="NG21" s="48">
        <v>16.7</v>
      </c>
      <c r="NH21" s="664" t="s">
        <v>2087</v>
      </c>
      <c r="NI21" s="50">
        <v>1600</v>
      </c>
      <c r="NJ21" s="336" t="s">
        <v>3559</v>
      </c>
      <c r="NK21" s="50" t="s">
        <v>3560</v>
      </c>
    </row>
    <row r="22" spans="1:375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24" t="s">
        <v>2091</v>
      </c>
      <c r="N22" s="724"/>
      <c r="Q22" s="63" t="s">
        <v>364</v>
      </c>
      <c r="S22" s="724" t="s">
        <v>2091</v>
      </c>
      <c r="T22" s="724"/>
      <c r="W22" s="71" t="s">
        <v>1736</v>
      </c>
      <c r="X22" s="14">
        <v>0</v>
      </c>
      <c r="Y22" s="722" t="s">
        <v>330</v>
      </c>
      <c r="Z22" s="722"/>
      <c r="AC22" s="72" t="s">
        <v>2092</v>
      </c>
      <c r="AD22" s="14">
        <v>80.001000000000005</v>
      </c>
      <c r="AE22" s="21" t="s">
        <v>1928</v>
      </c>
      <c r="AF22" s="60" t="s">
        <v>1812</v>
      </c>
      <c r="AI22" s="72" t="s">
        <v>2092</v>
      </c>
      <c r="AJ22" s="66">
        <v>150</v>
      </c>
      <c r="AK22" s="21" t="s">
        <v>1928</v>
      </c>
      <c r="AL22" s="60" t="s">
        <v>1812</v>
      </c>
      <c r="AO22" s="71" t="s">
        <v>1856</v>
      </c>
      <c r="AP22" s="66">
        <v>0</v>
      </c>
      <c r="AQ22" s="21" t="s">
        <v>1928</v>
      </c>
      <c r="AR22" s="60">
        <v>20000</v>
      </c>
      <c r="AU22" s="71" t="s">
        <v>1856</v>
      </c>
      <c r="AV22" s="66">
        <f>200+150+172</f>
        <v>522</v>
      </c>
      <c r="AW22" s="21" t="s">
        <v>1928</v>
      </c>
      <c r="AX22" s="86">
        <v>19203.86</v>
      </c>
      <c r="AY22" s="71"/>
      <c r="AZ22" s="66"/>
      <c r="BA22" s="21" t="s">
        <v>1928</v>
      </c>
      <c r="BB22" s="60">
        <f t="shared" si="0"/>
        <v>19203.86</v>
      </c>
      <c r="BE22" s="71" t="s">
        <v>1617</v>
      </c>
      <c r="BG22" s="21" t="s">
        <v>1928</v>
      </c>
      <c r="BH22" s="86">
        <v>19203.86</v>
      </c>
      <c r="BK22" s="93" t="s">
        <v>1617</v>
      </c>
      <c r="BL22" s="49" t="s">
        <v>646</v>
      </c>
      <c r="BM22" s="21" t="s">
        <v>1928</v>
      </c>
      <c r="BN22" s="86">
        <v>19203.86</v>
      </c>
      <c r="BQ22" s="93" t="s">
        <v>1617</v>
      </c>
      <c r="BR22" s="49" t="s">
        <v>646</v>
      </c>
      <c r="BS22" s="21" t="s">
        <v>1928</v>
      </c>
      <c r="BT22" s="22">
        <v>22203.86</v>
      </c>
      <c r="BW22" s="93" t="s">
        <v>1617</v>
      </c>
      <c r="BX22" s="49" t="s">
        <v>646</v>
      </c>
      <c r="BY22" s="21" t="s">
        <v>2093</v>
      </c>
      <c r="BZ22" s="60">
        <f>10000+4000</f>
        <v>14000</v>
      </c>
      <c r="CC22" s="93" t="s">
        <v>1617</v>
      </c>
      <c r="CD22" s="49" t="s">
        <v>646</v>
      </c>
      <c r="CE22" s="21" t="s">
        <v>2044</v>
      </c>
      <c r="CF22" s="60">
        <v>10000</v>
      </c>
      <c r="CI22" s="94" t="s">
        <v>2094</v>
      </c>
      <c r="CJ22" s="66">
        <v>91.86</v>
      </c>
      <c r="CK22" s="87" t="s">
        <v>1396</v>
      </c>
      <c r="CL22" s="104">
        <v>-20000</v>
      </c>
      <c r="CO22" s="94" t="s">
        <v>2095</v>
      </c>
      <c r="CP22" s="66">
        <v>57.34</v>
      </c>
      <c r="CQ22" s="87" t="s">
        <v>1396</v>
      </c>
      <c r="CR22" s="104">
        <v>-20000</v>
      </c>
      <c r="CS22" s="62" t="s">
        <v>2096</v>
      </c>
      <c r="CT22" s="62" t="s">
        <v>2097</v>
      </c>
      <c r="CU22" s="94" t="s">
        <v>1866</v>
      </c>
      <c r="CV22" s="66">
        <v>136.53</v>
      </c>
      <c r="CW22" s="87" t="s">
        <v>1396</v>
      </c>
      <c r="CX22" s="104">
        <v>-20000</v>
      </c>
      <c r="DA22" s="93" t="s">
        <v>2098</v>
      </c>
      <c r="DB22" s="66">
        <v>53.24</v>
      </c>
      <c r="DC22" s="21" t="s">
        <v>1852</v>
      </c>
      <c r="DD22" s="60">
        <v>45991</v>
      </c>
      <c r="DF22" s="66"/>
      <c r="DG22" s="119" t="s">
        <v>2099</v>
      </c>
      <c r="DH22" s="62" t="s">
        <v>646</v>
      </c>
      <c r="DI22" s="21" t="s">
        <v>2100</v>
      </c>
      <c r="DJ22" s="97">
        <v>10000</v>
      </c>
      <c r="DM22" s="121" t="s">
        <v>2101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1866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2102</v>
      </c>
      <c r="EF22" s="14">
        <v>10</v>
      </c>
      <c r="EH22" s="54" t="s">
        <v>1868</v>
      </c>
      <c r="EI22" s="99">
        <v>10000</v>
      </c>
      <c r="EJ22" s="14" t="s">
        <v>2103</v>
      </c>
      <c r="EK22" s="14">
        <v>33.71</v>
      </c>
      <c r="EL22" s="71" t="s">
        <v>1939</v>
      </c>
      <c r="EM22" s="14">
        <f>64+32</f>
        <v>96</v>
      </c>
      <c r="EN22" s="54" t="s">
        <v>1748</v>
      </c>
      <c r="EO22" s="99">
        <v>30000</v>
      </c>
      <c r="ER22" s="169" t="s">
        <v>1939</v>
      </c>
      <c r="ES22" s="14">
        <v>0</v>
      </c>
      <c r="ET22" s="54" t="s">
        <v>2104</v>
      </c>
      <c r="EU22" s="99">
        <v>13000</v>
      </c>
      <c r="EV22" s="66" t="s">
        <v>2105</v>
      </c>
      <c r="EW22" s="14">
        <f>4074+4965-9000</f>
        <v>39</v>
      </c>
      <c r="EX22" s="169" t="s">
        <v>2048</v>
      </c>
      <c r="EY22" s="14">
        <f>5.2+0.88+2.24+16.2+10+1.44+10.21+16.7+1.31+15.1+2.62+2.62+2.53+2.62+2.62+4.71</f>
        <v>97</v>
      </c>
      <c r="EZ22" s="54" t="s">
        <v>2050</v>
      </c>
      <c r="FA22" s="99">
        <v>2000</v>
      </c>
      <c r="FB22" s="66"/>
      <c r="FC22" s="734"/>
      <c r="FD22" s="169" t="s">
        <v>2048</v>
      </c>
      <c r="FE22" s="14">
        <f>2.62+4.71+2.62+13.99+15.65+7.92+10.66+6.21</f>
        <v>64.38</v>
      </c>
      <c r="FF22" s="54" t="s">
        <v>2050</v>
      </c>
      <c r="FG22" s="99">
        <v>2000</v>
      </c>
      <c r="FH22" s="66"/>
      <c r="FJ22" s="169" t="s">
        <v>2048</v>
      </c>
      <c r="FK22" s="14">
        <f>8.69+8.74+7.36+10.96+7.08+7.26</f>
        <v>50.089999999999996</v>
      </c>
      <c r="FL22" s="54" t="s">
        <v>1869</v>
      </c>
      <c r="FM22" s="99">
        <v>0</v>
      </c>
      <c r="FP22" s="169" t="s">
        <v>1939</v>
      </c>
      <c r="FQ22" s="14">
        <v>64</v>
      </c>
      <c r="FR22" s="54" t="s">
        <v>1868</v>
      </c>
      <c r="FS22" s="99" t="s">
        <v>1812</v>
      </c>
      <c r="FT22" s="14" t="s">
        <v>2106</v>
      </c>
      <c r="FU22" s="14">
        <v>1193.8599999999999</v>
      </c>
      <c r="FV22" s="169" t="s">
        <v>1939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1944</v>
      </c>
      <c r="GH22" s="169" t="s">
        <v>1547</v>
      </c>
      <c r="GI22" s="14">
        <f>13+30</f>
        <v>43</v>
      </c>
      <c r="GJ22" s="54" t="s">
        <v>2001</v>
      </c>
      <c r="GK22" s="99">
        <v>182</v>
      </c>
      <c r="GN22" s="169" t="s">
        <v>1578</v>
      </c>
      <c r="GO22" s="14">
        <v>140.44999999999999</v>
      </c>
      <c r="GP22" s="54" t="s">
        <v>2001</v>
      </c>
      <c r="GQ22" s="99">
        <v>2148</v>
      </c>
      <c r="GS22" s="17"/>
      <c r="GT22" s="169" t="s">
        <v>2056</v>
      </c>
      <c r="GU22" s="14">
        <v>10.96</v>
      </c>
      <c r="GV22" s="54" t="s">
        <v>1461</v>
      </c>
      <c r="GW22" s="99">
        <v>3000</v>
      </c>
      <c r="GZ22" s="169" t="s">
        <v>2107</v>
      </c>
      <c r="HA22" s="14">
        <f>10.96+9.01+6.5+15</f>
        <v>41.47</v>
      </c>
      <c r="HB22" s="54" t="s">
        <v>2001</v>
      </c>
      <c r="HC22" s="99">
        <v>0</v>
      </c>
      <c r="HD22" s="564" t="s">
        <v>2108</v>
      </c>
      <c r="HE22" s="14">
        <v>10</v>
      </c>
      <c r="HF22" s="169" t="s">
        <v>1946</v>
      </c>
      <c r="HG22" s="14">
        <v>16.71</v>
      </c>
      <c r="HH22" s="54" t="s">
        <v>1583</v>
      </c>
      <c r="HI22" s="99">
        <v>25000</v>
      </c>
      <c r="HK22" s="188"/>
      <c r="HL22" s="152" t="s">
        <v>2109</v>
      </c>
      <c r="HM22" s="14">
        <v>115.9</v>
      </c>
      <c r="HN22" s="54" t="s">
        <v>1515</v>
      </c>
      <c r="HO22" s="99">
        <v>4000</v>
      </c>
      <c r="HR22" s="169" t="s">
        <v>2110</v>
      </c>
      <c r="HS22" s="14">
        <v>10</v>
      </c>
      <c r="HT22" s="68" t="s">
        <v>2111</v>
      </c>
      <c r="HU22" s="14">
        <f>5002+10000+5002+10002+5000</f>
        <v>35006</v>
      </c>
      <c r="HW22" s="188"/>
      <c r="HX22" s="169" t="s">
        <v>2112</v>
      </c>
      <c r="HY22" s="14">
        <v>64</v>
      </c>
      <c r="HZ22" s="68" t="s">
        <v>1606</v>
      </c>
      <c r="IA22" s="99">
        <v>2000</v>
      </c>
      <c r="IB22" s="230" t="s">
        <v>1887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2113</v>
      </c>
      <c r="II22" s="14">
        <f>9.86*4</f>
        <v>39.44</v>
      </c>
      <c r="IJ22" s="169" t="s">
        <v>2114</v>
      </c>
      <c r="IK22" s="14">
        <v>64</v>
      </c>
      <c r="IL22" s="68" t="s">
        <v>1958</v>
      </c>
      <c r="IM22" s="50">
        <v>2190</v>
      </c>
      <c r="IO22" s="217"/>
      <c r="IP22" s="152" t="s">
        <v>2115</v>
      </c>
      <c r="IQ22" s="48">
        <v>10</v>
      </c>
      <c r="IR22" s="74" t="s">
        <v>2116</v>
      </c>
      <c r="IT22" s="715" t="s">
        <v>2117</v>
      </c>
      <c r="IU22" s="715"/>
      <c r="IV22" s="152" t="s">
        <v>2118</v>
      </c>
      <c r="IW22" s="48">
        <v>42.51</v>
      </c>
      <c r="IX22" s="74" t="s">
        <v>2116</v>
      </c>
      <c r="IZ22" s="193"/>
      <c r="JA22" s="211"/>
      <c r="JB22" s="169" t="s">
        <v>1547</v>
      </c>
      <c r="JC22" s="48">
        <f>13+30</f>
        <v>43</v>
      </c>
      <c r="JD22" s="54" t="s">
        <v>2020</v>
      </c>
      <c r="JH22" s="169" t="s">
        <v>1708</v>
      </c>
      <c r="JI22" s="48">
        <f>9+14.32</f>
        <v>23.32</v>
      </c>
      <c r="JJ22" s="54" t="s">
        <v>1966</v>
      </c>
      <c r="JK22" s="14">
        <v>230</v>
      </c>
      <c r="JL22" s="193"/>
      <c r="JM22" s="211"/>
      <c r="JN22" s="152" t="s">
        <v>2119</v>
      </c>
      <c r="JO22" s="50">
        <v>2953</v>
      </c>
      <c r="JP22" s="70" t="s">
        <v>2070</v>
      </c>
      <c r="JQ22" s="50">
        <v>1000</v>
      </c>
      <c r="JR22" s="260" t="s">
        <v>2120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2116</v>
      </c>
      <c r="JW22" s="48"/>
      <c r="JX22" s="49" t="s">
        <v>2121</v>
      </c>
      <c r="JY22" s="254">
        <v>31.96</v>
      </c>
      <c r="JZ22" s="77" t="s">
        <v>2122</v>
      </c>
      <c r="KA22" s="217">
        <v>1322.98</v>
      </c>
      <c r="KB22" s="74" t="s">
        <v>2123</v>
      </c>
      <c r="KC22" s="48"/>
      <c r="KD22" s="66" t="s">
        <v>2124</v>
      </c>
      <c r="KE22" s="211">
        <f>7000*(1-98.14%)</f>
        <v>130.19999999999965</v>
      </c>
      <c r="KF22" s="152" t="s">
        <v>2125</v>
      </c>
      <c r="KG22" s="106">
        <v>38</v>
      </c>
      <c r="KH22" s="66" t="s">
        <v>1471</v>
      </c>
      <c r="KI22" s="50">
        <v>2600</v>
      </c>
      <c r="KJ22" s="49" t="s">
        <v>2126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2127</v>
      </c>
      <c r="KQ22" s="185">
        <v>2121.2199999999998</v>
      </c>
      <c r="KR22" s="72" t="s">
        <v>2128</v>
      </c>
      <c r="KS22" s="48">
        <v>100</v>
      </c>
      <c r="KT22" s="66" t="s">
        <v>1471</v>
      </c>
      <c r="KU22" s="50">
        <v>2600</v>
      </c>
      <c r="KV22" s="66" t="s">
        <v>2129</v>
      </c>
      <c r="KW22" s="14">
        <v>297.89999999999998</v>
      </c>
      <c r="KX22" s="91" t="s">
        <v>2130</v>
      </c>
      <c r="KY22" s="66">
        <v>399.3</v>
      </c>
      <c r="KZ22" s="68" t="s">
        <v>1528</v>
      </c>
      <c r="LA22" s="50">
        <v>656</v>
      </c>
      <c r="LB22" s="66" t="s">
        <v>2131</v>
      </c>
      <c r="LC22" s="14">
        <v>93.25</v>
      </c>
      <c r="LD22" s="77" t="s">
        <v>1842</v>
      </c>
      <c r="LE22" s="254">
        <f>1314-LE23</f>
        <v>1179</v>
      </c>
      <c r="LF22" s="68" t="s">
        <v>2132</v>
      </c>
      <c r="LG22" s="50">
        <v>10</v>
      </c>
      <c r="LH22" s="66" t="s">
        <v>2131</v>
      </c>
      <c r="LI22" s="14">
        <v>93.25</v>
      </c>
      <c r="LJ22" s="72" t="s">
        <v>2133</v>
      </c>
      <c r="LK22" s="62">
        <v>42.95</v>
      </c>
      <c r="LL22" s="68" t="s">
        <v>2132</v>
      </c>
      <c r="LM22" s="50">
        <v>10</v>
      </c>
      <c r="LN22" s="54" t="s">
        <v>2134</v>
      </c>
      <c r="LO22" s="254">
        <f>212.33+76.44+67.94</f>
        <v>356.71</v>
      </c>
      <c r="LP22" s="72" t="s">
        <v>2135</v>
      </c>
      <c r="LQ22" s="62">
        <v>153</v>
      </c>
      <c r="LR22" s="68" t="s">
        <v>1597</v>
      </c>
      <c r="LS22" s="238">
        <v>1531</v>
      </c>
      <c r="LT22" s="320" t="s">
        <v>2136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2137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2138</v>
      </c>
      <c r="MI22" s="315">
        <v>468.82</v>
      </c>
      <c r="MJ22" s="66" t="s">
        <v>1845</v>
      </c>
      <c r="MK22" s="50">
        <f>MJ23-0.99*195000</f>
        <v>-615</v>
      </c>
      <c r="ML22" s="329"/>
      <c r="MM22" s="328"/>
      <c r="MN22" s="326" t="s">
        <v>2238</v>
      </c>
      <c r="MO22" s="610">
        <v>1593.84</v>
      </c>
      <c r="MP22" s="66" t="s">
        <v>1845</v>
      </c>
      <c r="MQ22" s="50">
        <f>MP23-0.99*195000</f>
        <v>-1461</v>
      </c>
      <c r="MR22" s="320" t="s">
        <v>3448</v>
      </c>
      <c r="MS22" s="328">
        <f>110.7*2</f>
        <v>221.4</v>
      </c>
      <c r="MT22" s="604" t="s">
        <v>3494</v>
      </c>
      <c r="MU22" s="48">
        <f>1.5+10</f>
        <v>11.5</v>
      </c>
      <c r="MV22" s="598" t="s">
        <v>1845</v>
      </c>
      <c r="MW22" s="50">
        <f>MV23-0.99*195000</f>
        <v>1</v>
      </c>
      <c r="MX22" s="587" t="s">
        <v>3521</v>
      </c>
      <c r="MY22" s="328">
        <v>87.97</v>
      </c>
      <c r="MZ22" s="604" t="s">
        <v>3526</v>
      </c>
      <c r="NA22" s="48">
        <f>30.5*2</f>
        <v>61</v>
      </c>
      <c r="NB22" s="288">
        <v>192745</v>
      </c>
      <c r="NC22" s="43" t="s">
        <v>2038</v>
      </c>
      <c r="ND22" s="613"/>
      <c r="NF22" s="604" t="s">
        <v>1877</v>
      </c>
      <c r="NG22" s="61"/>
      <c r="NH22" s="668" t="s">
        <v>3561</v>
      </c>
      <c r="NI22" s="50">
        <v>848</v>
      </c>
      <c r="NJ22" s="336" t="s">
        <v>3559</v>
      </c>
      <c r="NK22" s="50"/>
    </row>
    <row r="23" spans="1:375">
      <c r="A23" s="722" t="s">
        <v>330</v>
      </c>
      <c r="B23" s="722"/>
      <c r="E23" s="565" t="s">
        <v>402</v>
      </c>
      <c r="F23" s="63"/>
      <c r="G23" s="722" t="s">
        <v>330</v>
      </c>
      <c r="H23" s="722"/>
      <c r="K23" s="71" t="s">
        <v>1736</v>
      </c>
      <c r="L23" s="14">
        <v>0</v>
      </c>
      <c r="M23" s="723"/>
      <c r="N23" s="723"/>
      <c r="Q23" s="63" t="s">
        <v>1916</v>
      </c>
      <c r="S23" s="723"/>
      <c r="T23" s="723"/>
      <c r="W23" s="71" t="s">
        <v>1518</v>
      </c>
      <c r="X23" s="66">
        <v>0</v>
      </c>
      <c r="Y23" s="724" t="s">
        <v>2091</v>
      </c>
      <c r="Z23" s="724"/>
      <c r="AE23" s="722" t="s">
        <v>330</v>
      </c>
      <c r="AF23" s="722"/>
      <c r="AK23" s="722" t="s">
        <v>330</v>
      </c>
      <c r="AL23" s="722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1854</v>
      </c>
      <c r="BF23" s="66" t="s">
        <v>663</v>
      </c>
      <c r="BG23" s="87" t="s">
        <v>290</v>
      </c>
      <c r="BH23" s="87">
        <v>-30000</v>
      </c>
      <c r="BK23" s="94" t="s">
        <v>1854</v>
      </c>
      <c r="BL23" s="66" t="s">
        <v>663</v>
      </c>
      <c r="BM23" s="87" t="s">
        <v>290</v>
      </c>
      <c r="BN23" s="87">
        <v>-30000</v>
      </c>
      <c r="BQ23" s="94" t="s">
        <v>2139</v>
      </c>
      <c r="BR23" s="66">
        <v>121.05</v>
      </c>
      <c r="BS23" s="87" t="s">
        <v>2140</v>
      </c>
      <c r="BT23" s="100">
        <v>-20000</v>
      </c>
      <c r="BW23" s="94" t="s">
        <v>1854</v>
      </c>
      <c r="BX23" s="66" t="s">
        <v>663</v>
      </c>
      <c r="BY23" s="87" t="s">
        <v>1396</v>
      </c>
      <c r="BZ23" s="104">
        <v>-20000</v>
      </c>
      <c r="CC23" s="94" t="s">
        <v>1854</v>
      </c>
      <c r="CD23" s="66">
        <v>47.12</v>
      </c>
      <c r="CE23" s="87" t="s">
        <v>1396</v>
      </c>
      <c r="CF23" s="104">
        <v>-20000</v>
      </c>
      <c r="CI23" s="94" t="s">
        <v>2141</v>
      </c>
      <c r="CJ23" s="66">
        <v>72.42</v>
      </c>
      <c r="CK23" s="66" t="s">
        <v>2142</v>
      </c>
      <c r="CL23" s="106">
        <v>802</v>
      </c>
      <c r="CO23" s="94" t="s">
        <v>1547</v>
      </c>
      <c r="CP23" s="66">
        <v>13</v>
      </c>
      <c r="CQ23" s="74" t="s">
        <v>2142</v>
      </c>
      <c r="CR23" s="74">
        <f>802-791</f>
        <v>11</v>
      </c>
      <c r="CU23" s="94" t="s">
        <v>2098</v>
      </c>
      <c r="CV23" s="66">
        <v>53.24</v>
      </c>
      <c r="CW23" s="116" t="s">
        <v>2142</v>
      </c>
      <c r="CX23" s="60"/>
      <c r="DA23" s="93" t="s">
        <v>2143</v>
      </c>
      <c r="DB23" s="66">
        <v>64</v>
      </c>
      <c r="DC23" s="87" t="s">
        <v>1396</v>
      </c>
      <c r="DD23" s="104">
        <v>-20000</v>
      </c>
      <c r="DE23" s="62" t="s">
        <v>2144</v>
      </c>
      <c r="DF23" s="49">
        <f>7.1+13</f>
        <v>20.100000000000001</v>
      </c>
      <c r="DG23" s="120" t="s">
        <v>2145</v>
      </c>
      <c r="DH23" s="51">
        <v>35.630000000000003</v>
      </c>
      <c r="DI23" s="21" t="s">
        <v>2146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2098</v>
      </c>
      <c r="DT23" s="62">
        <v>11</v>
      </c>
      <c r="DU23" s="21" t="s">
        <v>1634</v>
      </c>
      <c r="DV23" s="97">
        <v>5000</v>
      </c>
      <c r="DY23" s="152" t="s">
        <v>2147</v>
      </c>
      <c r="DZ23" s="14">
        <v>25</v>
      </c>
      <c r="EA23" s="21" t="s">
        <v>2148</v>
      </c>
      <c r="EB23" s="97">
        <v>5000</v>
      </c>
      <c r="EE23" s="725" t="s">
        <v>2149</v>
      </c>
      <c r="EF23" s="725"/>
      <c r="EH23" s="54" t="s">
        <v>1935</v>
      </c>
      <c r="EI23" s="99">
        <v>5000</v>
      </c>
      <c r="EL23" s="71" t="s">
        <v>2048</v>
      </c>
      <c r="EM23" s="14">
        <f>5.43+3.52+5.66+9.02+8.26</f>
        <v>31.89</v>
      </c>
      <c r="EN23" s="54" t="s">
        <v>1805</v>
      </c>
      <c r="EO23" s="99">
        <v>20000</v>
      </c>
      <c r="ER23" s="169" t="s">
        <v>2048</v>
      </c>
      <c r="ES23" s="14">
        <f>7.48+6.15+3.6+2.24+10+2.24</f>
        <v>31.71</v>
      </c>
      <c r="ET23" s="54" t="s">
        <v>1753</v>
      </c>
      <c r="EU23" s="99">
        <v>10000</v>
      </c>
      <c r="EV23" s="66" t="s">
        <v>2150</v>
      </c>
      <c r="EW23" s="734" t="s">
        <v>2053</v>
      </c>
      <c r="EX23" s="152" t="s">
        <v>2151</v>
      </c>
      <c r="EY23" s="14">
        <f>6+3.65</f>
        <v>9.65</v>
      </c>
      <c r="EZ23" s="54" t="s">
        <v>2104</v>
      </c>
      <c r="FA23" s="99">
        <v>3000</v>
      </c>
      <c r="FB23" s="66"/>
      <c r="FC23" s="734"/>
      <c r="FD23" s="152" t="s">
        <v>2152</v>
      </c>
      <c r="FE23" s="14">
        <v>10</v>
      </c>
      <c r="FF23" s="54" t="s">
        <v>2104</v>
      </c>
      <c r="FG23" s="99">
        <v>3000</v>
      </c>
      <c r="FJ23" s="152" t="s">
        <v>2153</v>
      </c>
      <c r="FK23" s="14">
        <v>70</v>
      </c>
      <c r="FL23" s="54" t="s">
        <v>1868</v>
      </c>
      <c r="FM23" s="99">
        <v>2000</v>
      </c>
      <c r="FN23" s="66"/>
      <c r="FO23" s="69"/>
      <c r="FP23" s="169" t="s">
        <v>1999</v>
      </c>
      <c r="FQ23" s="14">
        <v>12</v>
      </c>
      <c r="FR23" s="54" t="s">
        <v>2050</v>
      </c>
      <c r="FS23" s="99">
        <v>2000</v>
      </c>
      <c r="FT23" s="564" t="s">
        <v>1942</v>
      </c>
      <c r="FV23" s="169" t="s">
        <v>1999</v>
      </c>
      <c r="FW23" s="14">
        <v>12</v>
      </c>
      <c r="FX23" s="54" t="s">
        <v>1809</v>
      </c>
      <c r="FY23" s="99">
        <v>25000</v>
      </c>
      <c r="GB23" s="169" t="s">
        <v>2056</v>
      </c>
      <c r="GC23" s="14">
        <v>10.96</v>
      </c>
      <c r="GD23" s="54" t="s">
        <v>1809</v>
      </c>
      <c r="GE23" s="99">
        <v>25000</v>
      </c>
      <c r="GF23" s="14" t="s">
        <v>2004</v>
      </c>
      <c r="GG23" s="14">
        <f>990.58-1001</f>
        <v>-10.419999999999959</v>
      </c>
      <c r="GH23" s="169" t="s">
        <v>2056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2154</v>
      </c>
      <c r="GT23" s="169" t="s">
        <v>1939</v>
      </c>
      <c r="GU23" s="14">
        <v>64</v>
      </c>
      <c r="GV23" s="54" t="s">
        <v>2062</v>
      </c>
      <c r="GW23" s="99">
        <v>4000</v>
      </c>
      <c r="GZ23" s="169" t="s">
        <v>2155</v>
      </c>
      <c r="HA23" s="14">
        <f>10+2.2</f>
        <v>12.2</v>
      </c>
      <c r="HB23" s="54" t="s">
        <v>1461</v>
      </c>
      <c r="HC23" s="99">
        <v>3000</v>
      </c>
      <c r="HD23" s="14" t="s">
        <v>2156</v>
      </c>
      <c r="HF23" s="169" t="s">
        <v>1578</v>
      </c>
      <c r="HG23" s="14">
        <v>140.44999999999999</v>
      </c>
      <c r="HH23" s="54" t="s">
        <v>1935</v>
      </c>
      <c r="HI23" s="99">
        <v>2000</v>
      </c>
      <c r="HJ23" s="715" t="s">
        <v>2117</v>
      </c>
      <c r="HK23" s="715"/>
      <c r="HL23" s="152" t="s">
        <v>2157</v>
      </c>
      <c r="HM23" s="14">
        <v>57.3</v>
      </c>
      <c r="HN23" s="54" t="s">
        <v>1583</v>
      </c>
      <c r="HO23" s="99">
        <v>25000</v>
      </c>
      <c r="HR23" s="169" t="s">
        <v>1885</v>
      </c>
      <c r="HS23" s="197">
        <f>16.5+14.09+10+1.34+13.21+16.39+15.89+17.3</f>
        <v>104.72</v>
      </c>
      <c r="HT23" s="68" t="s">
        <v>2158</v>
      </c>
      <c r="HU23" s="14">
        <f>5002+10000+10000+5000</f>
        <v>30002</v>
      </c>
      <c r="HV23" s="715" t="s">
        <v>2117</v>
      </c>
      <c r="HW23" s="715"/>
      <c r="HX23" s="169" t="s">
        <v>2159</v>
      </c>
      <c r="HY23" s="14">
        <v>30</v>
      </c>
      <c r="HZ23" s="68" t="s">
        <v>2012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2160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2161</v>
      </c>
      <c r="IM23" s="14">
        <v>150</v>
      </c>
      <c r="IO23" s="217"/>
      <c r="IP23" s="152" t="s">
        <v>2162</v>
      </c>
      <c r="IQ23" s="48">
        <v>80</v>
      </c>
      <c r="IR23" s="74" t="s">
        <v>2123</v>
      </c>
      <c r="IS23" s="102"/>
      <c r="IT23" s="168" t="s">
        <v>1200</v>
      </c>
      <c r="IU23" s="96">
        <f>SUM(IW7:IW9)</f>
        <v>3911.02</v>
      </c>
      <c r="IV23" s="152" t="s">
        <v>2163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2070</v>
      </c>
      <c r="JE23" s="14">
        <v>1000</v>
      </c>
      <c r="JF23" s="193"/>
      <c r="JG23" s="211"/>
      <c r="JH23" s="252" t="s">
        <v>2164</v>
      </c>
      <c r="JI23" s="106">
        <v>4.05</v>
      </c>
      <c r="JJ23" s="54" t="s">
        <v>2020</v>
      </c>
      <c r="JL23" s="193"/>
      <c r="JM23" s="211"/>
      <c r="JN23" s="152" t="s">
        <v>2165</v>
      </c>
      <c r="JO23" s="48">
        <v>50.23</v>
      </c>
      <c r="JP23" s="74" t="s">
        <v>2116</v>
      </c>
      <c r="JQ23" s="50"/>
      <c r="JS23" s="211"/>
      <c r="JT23" s="152" t="s">
        <v>2166</v>
      </c>
      <c r="JU23" s="48">
        <v>10</v>
      </c>
      <c r="JV23" s="74" t="s">
        <v>2123</v>
      </c>
      <c r="JW23" s="48"/>
      <c r="JX23" s="54" t="s">
        <v>2167</v>
      </c>
      <c r="JY23" s="254">
        <f>85.99+30.96</f>
        <v>116.94999999999999</v>
      </c>
      <c r="JZ23" s="77" t="s">
        <v>2168</v>
      </c>
      <c r="KA23" s="217">
        <v>1730.87</v>
      </c>
      <c r="KB23" s="74" t="s">
        <v>2116</v>
      </c>
      <c r="KC23" s="48"/>
      <c r="KD23" s="66" t="s">
        <v>2169</v>
      </c>
      <c r="KE23" s="14">
        <f>1660.5+1107</f>
        <v>2767.5</v>
      </c>
      <c r="KF23" s="152" t="s">
        <v>2170</v>
      </c>
      <c r="KG23" s="106">
        <v>25.9</v>
      </c>
      <c r="KH23" s="68" t="s">
        <v>1528</v>
      </c>
      <c r="KI23" s="50">
        <v>1</v>
      </c>
      <c r="KJ23" s="49" t="s">
        <v>2171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2172</v>
      </c>
      <c r="KQ23" s="185">
        <v>2597.87</v>
      </c>
      <c r="KR23" s="72" t="s">
        <v>2173</v>
      </c>
      <c r="KS23" s="51">
        <v>109.75</v>
      </c>
      <c r="KT23" s="68" t="s">
        <v>1528</v>
      </c>
      <c r="KU23" s="50">
        <v>1238</v>
      </c>
      <c r="KV23" s="66" t="s">
        <v>2131</v>
      </c>
      <c r="KW23" s="14">
        <f>5000*(1-0.9813)</f>
        <v>93.500000000000256</v>
      </c>
      <c r="KX23" s="91" t="s">
        <v>2174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2175</v>
      </c>
      <c r="LC23" s="14">
        <v>93</v>
      </c>
      <c r="LD23" s="72" t="s">
        <v>1325</v>
      </c>
      <c r="LE23" s="61">
        <v>135</v>
      </c>
      <c r="LF23" s="54" t="s">
        <v>2176</v>
      </c>
      <c r="LG23" s="50">
        <v>160</v>
      </c>
      <c r="LH23" s="66" t="s">
        <v>2177</v>
      </c>
      <c r="LI23" s="254">
        <v>92.25</v>
      </c>
      <c r="LJ23" s="72" t="s">
        <v>1474</v>
      </c>
      <c r="LK23" s="48">
        <v>40.950000000000003</v>
      </c>
      <c r="LL23" s="54" t="s">
        <v>2176</v>
      </c>
      <c r="LM23" s="50">
        <v>210</v>
      </c>
      <c r="LN23" s="49" t="s">
        <v>2178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2132</v>
      </c>
      <c r="LS23" s="50">
        <v>10</v>
      </c>
      <c r="LT23" s="320"/>
      <c r="LU23" s="320"/>
      <c r="LV23" s="152" t="s">
        <v>2179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2180</v>
      </c>
      <c r="MC23" s="48">
        <v>39.4</v>
      </c>
      <c r="MD23" s="68" t="s">
        <v>1597</v>
      </c>
      <c r="ME23" s="238">
        <v>608</v>
      </c>
      <c r="MF23" s="325" t="s">
        <v>2181</v>
      </c>
      <c r="MG23" s="48">
        <v>110.7</v>
      </c>
      <c r="MH23" s="326" t="s">
        <v>2182</v>
      </c>
      <c r="MI23" s="48">
        <v>22.15</v>
      </c>
      <c r="MJ23" s="288">
        <v>192435</v>
      </c>
      <c r="MK23" s="43" t="s">
        <v>2038</v>
      </c>
      <c r="ML23" s="329"/>
      <c r="MM23" s="328"/>
      <c r="MN23" s="326" t="s">
        <v>3408</v>
      </c>
      <c r="MO23" s="48">
        <f>92.34+4</f>
        <v>96.34</v>
      </c>
      <c r="MP23" s="288">
        <v>191589</v>
      </c>
      <c r="MQ23" s="43" t="s">
        <v>2038</v>
      </c>
      <c r="MR23" s="320" t="s">
        <v>3462</v>
      </c>
      <c r="MS23" s="328">
        <v>181.5</v>
      </c>
      <c r="MT23" s="604" t="s">
        <v>3430</v>
      </c>
      <c r="MU23" s="618">
        <v>33.33</v>
      </c>
      <c r="MV23" s="288">
        <v>193051</v>
      </c>
      <c r="MW23" s="43" t="s">
        <v>2038</v>
      </c>
      <c r="MX23" s="320" t="s">
        <v>3520</v>
      </c>
      <c r="MY23" s="328">
        <f>43.21+28.21+36.83</f>
        <v>108.25</v>
      </c>
      <c r="MZ23" s="604" t="s">
        <v>3528</v>
      </c>
      <c r="NA23" s="48">
        <f>5.6+38.97</f>
        <v>44.57</v>
      </c>
      <c r="NB23" s="644" t="s">
        <v>2087</v>
      </c>
      <c r="NC23" s="50">
        <v>2600</v>
      </c>
      <c r="ND23" s="587"/>
      <c r="NE23" s="328"/>
      <c r="NF23" s="604" t="s">
        <v>1877</v>
      </c>
      <c r="NG23" s="48"/>
      <c r="NH23" s="668" t="s">
        <v>3452</v>
      </c>
      <c r="NI23" s="50">
        <v>997</v>
      </c>
      <c r="NJ23" s="611" t="s">
        <v>3559</v>
      </c>
      <c r="NK23" s="50"/>
    </row>
    <row r="24" spans="1:375">
      <c r="A24" s="724" t="s">
        <v>2091</v>
      </c>
      <c r="B24" s="724"/>
      <c r="E24" s="565" t="s">
        <v>271</v>
      </c>
      <c r="F24" s="63"/>
      <c r="G24" s="724" t="s">
        <v>2091</v>
      </c>
      <c r="H24" s="724"/>
      <c r="K24" s="71" t="s">
        <v>1518</v>
      </c>
      <c r="L24" s="66">
        <v>0</v>
      </c>
      <c r="M24" s="723"/>
      <c r="N24" s="723"/>
      <c r="Q24" s="71" t="s">
        <v>1617</v>
      </c>
      <c r="R24" s="14">
        <v>0</v>
      </c>
      <c r="S24" s="723"/>
      <c r="T24" s="723"/>
      <c r="W24" s="71" t="s">
        <v>2183</v>
      </c>
      <c r="X24" s="14">
        <v>910.17</v>
      </c>
      <c r="Y24" s="723"/>
      <c r="Z24" s="723"/>
      <c r="AC24" s="78" t="s">
        <v>2184</v>
      </c>
      <c r="AD24" s="14">
        <v>90</v>
      </c>
      <c r="AE24" s="724" t="s">
        <v>2091</v>
      </c>
      <c r="AF24" s="724"/>
      <c r="AI24" s="77" t="s">
        <v>2185</v>
      </c>
      <c r="AJ24" s="14">
        <v>30</v>
      </c>
      <c r="AK24" s="724" t="s">
        <v>2091</v>
      </c>
      <c r="AL24" s="724"/>
      <c r="AO24" s="71" t="s">
        <v>1518</v>
      </c>
      <c r="AP24" s="66">
        <v>0</v>
      </c>
      <c r="AQ24" s="66" t="s">
        <v>2186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1918</v>
      </c>
      <c r="BF24" s="66">
        <v>54.83</v>
      </c>
      <c r="BG24" s="724"/>
      <c r="BH24" s="724"/>
      <c r="BK24" s="94" t="s">
        <v>2187</v>
      </c>
      <c r="BL24" s="66">
        <v>48.54</v>
      </c>
      <c r="BM24" s="724"/>
      <c r="BN24" s="724"/>
      <c r="BQ24" s="94" t="s">
        <v>1918</v>
      </c>
      <c r="BR24" s="66">
        <v>50.15</v>
      </c>
      <c r="BS24" s="724" t="s">
        <v>2188</v>
      </c>
      <c r="BT24" s="724"/>
      <c r="BW24" s="94" t="s">
        <v>1918</v>
      </c>
      <c r="BX24" s="66">
        <v>48.54</v>
      </c>
      <c r="BY24" s="724"/>
      <c r="BZ24" s="724"/>
      <c r="CC24" s="94" t="s">
        <v>1918</v>
      </c>
      <c r="CD24" s="66">
        <v>142.91</v>
      </c>
      <c r="CE24" s="724"/>
      <c r="CF24" s="724"/>
      <c r="CI24" s="94" t="s">
        <v>2189</v>
      </c>
      <c r="CJ24" s="66">
        <v>35.049999999999997</v>
      </c>
      <c r="CK24" s="723"/>
      <c r="CL24" s="723"/>
      <c r="CO24" s="94" t="s">
        <v>1866</v>
      </c>
      <c r="CP24" s="66">
        <v>153.41</v>
      </c>
      <c r="CQ24" s="723" t="s">
        <v>2190</v>
      </c>
      <c r="CR24" s="723"/>
      <c r="CU24" s="94" t="s">
        <v>2143</v>
      </c>
      <c r="CV24" s="66">
        <v>32</v>
      </c>
      <c r="CW24" s="116" t="s">
        <v>2191</v>
      </c>
      <c r="CX24" s="116" t="s">
        <v>2192</v>
      </c>
      <c r="DA24" s="93" t="s">
        <v>2193</v>
      </c>
      <c r="DB24" s="66">
        <v>0</v>
      </c>
      <c r="DC24" s="116" t="s">
        <v>2142</v>
      </c>
      <c r="DD24" s="60"/>
      <c r="DE24" s="62" t="s">
        <v>2194</v>
      </c>
      <c r="DF24" s="49">
        <v>14</v>
      </c>
      <c r="DG24" s="120" t="s">
        <v>2195</v>
      </c>
      <c r="DH24" s="51">
        <v>152</v>
      </c>
      <c r="DI24" s="21" t="s">
        <v>2196</v>
      </c>
      <c r="DJ24" s="97">
        <v>40000</v>
      </c>
      <c r="DK24" s="66"/>
      <c r="DM24" s="93" t="s">
        <v>2197</v>
      </c>
      <c r="DN24" s="62">
        <v>118.12</v>
      </c>
      <c r="DO24" s="21" t="s">
        <v>2148</v>
      </c>
      <c r="DP24" s="97">
        <v>5000</v>
      </c>
      <c r="DQ24" s="66"/>
      <c r="DS24" s="93" t="s">
        <v>2198</v>
      </c>
      <c r="DT24" s="62">
        <v>10340.549999999999</v>
      </c>
      <c r="DU24" s="21" t="s">
        <v>2148</v>
      </c>
      <c r="DV24" s="97">
        <v>5000</v>
      </c>
      <c r="DY24" s="152" t="s">
        <v>2199</v>
      </c>
      <c r="DZ24" s="14">
        <v>20.100000000000001</v>
      </c>
      <c r="EA24" s="21" t="s">
        <v>2200</v>
      </c>
      <c r="EB24" s="97">
        <v>5000</v>
      </c>
      <c r="EE24" s="156">
        <v>100</v>
      </c>
      <c r="EF24" s="137">
        <f>EB11+EE24-EI9</f>
        <v>50</v>
      </c>
      <c r="EH24" s="54" t="s">
        <v>1995</v>
      </c>
      <c r="EI24" s="99">
        <v>5000</v>
      </c>
      <c r="EL24" s="152" t="s">
        <v>2201</v>
      </c>
      <c r="EM24" s="14">
        <v>70</v>
      </c>
      <c r="EN24" s="54" t="s">
        <v>1867</v>
      </c>
      <c r="EO24" s="99">
        <v>10000</v>
      </c>
      <c r="ER24" s="152" t="s">
        <v>2202</v>
      </c>
      <c r="ES24" s="14">
        <v>0</v>
      </c>
      <c r="ET24" s="66" t="s">
        <v>2203</v>
      </c>
      <c r="EU24" s="99">
        <v>0</v>
      </c>
      <c r="EW24" s="734"/>
      <c r="EX24" s="152" t="s">
        <v>2204</v>
      </c>
      <c r="EY24" s="14">
        <v>10</v>
      </c>
      <c r="EZ24" s="54" t="s">
        <v>2104</v>
      </c>
      <c r="FA24" s="99">
        <v>1000</v>
      </c>
      <c r="FB24" s="66"/>
      <c r="FC24" s="66"/>
      <c r="FD24" s="152" t="s">
        <v>2205</v>
      </c>
      <c r="FE24" s="14">
        <f>8*2</f>
        <v>16</v>
      </c>
      <c r="FF24" s="54" t="s">
        <v>2104</v>
      </c>
      <c r="FG24" s="99">
        <v>1000</v>
      </c>
      <c r="FJ24" s="152" t="s">
        <v>2206</v>
      </c>
      <c r="FK24" s="14">
        <v>60.14</v>
      </c>
      <c r="FL24" s="54" t="s">
        <v>2050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2104</v>
      </c>
      <c r="FS24" s="99">
        <v>3000</v>
      </c>
      <c r="FT24" s="14" t="s">
        <v>2207</v>
      </c>
      <c r="FU24" s="14">
        <v>15.000999999999999</v>
      </c>
      <c r="FV24" s="169" t="s">
        <v>2208</v>
      </c>
      <c r="FW24" s="14">
        <v>18</v>
      </c>
      <c r="FX24" s="54" t="s">
        <v>2050</v>
      </c>
      <c r="FY24" s="99">
        <v>2000</v>
      </c>
      <c r="GB24" s="169" t="s">
        <v>2209</v>
      </c>
      <c r="GC24" s="14">
        <v>64</v>
      </c>
      <c r="GD24" s="54" t="s">
        <v>2050</v>
      </c>
      <c r="GE24" s="99">
        <v>2000</v>
      </c>
      <c r="GF24" s="14" t="s">
        <v>2210</v>
      </c>
      <c r="GG24" s="14">
        <f>989.5-1001</f>
        <v>-11.5</v>
      </c>
      <c r="GH24" s="169" t="s">
        <v>1939</v>
      </c>
      <c r="GI24" s="14">
        <v>64</v>
      </c>
      <c r="GJ24" s="54" t="s">
        <v>1697</v>
      </c>
      <c r="GK24" s="99">
        <v>4000</v>
      </c>
      <c r="GN24" s="169" t="s">
        <v>2056</v>
      </c>
      <c r="GO24" s="14">
        <v>10.96</v>
      </c>
      <c r="GP24" s="54" t="s">
        <v>2062</v>
      </c>
      <c r="GQ24" s="99">
        <v>4000</v>
      </c>
      <c r="GT24" s="169" t="s">
        <v>1823</v>
      </c>
      <c r="GU24" s="14">
        <f>10+10</f>
        <v>20</v>
      </c>
      <c r="GV24" s="54" t="s">
        <v>1583</v>
      </c>
      <c r="GW24" s="99">
        <v>25000</v>
      </c>
      <c r="GZ24" s="169" t="s">
        <v>1885</v>
      </c>
      <c r="HA24" s="14">
        <f>15.19+14.56+13.54+14.83+17.61+15.15</f>
        <v>90.88</v>
      </c>
      <c r="HB24" s="54" t="s">
        <v>2062</v>
      </c>
      <c r="HC24" s="99">
        <v>4000</v>
      </c>
      <c r="HD24" s="14" t="s">
        <v>2211</v>
      </c>
      <c r="HF24" s="169" t="s">
        <v>1547</v>
      </c>
      <c r="HG24" s="14">
        <f>6.5+15+90</f>
        <v>111.5</v>
      </c>
      <c r="HH24" s="54" t="s">
        <v>1995</v>
      </c>
      <c r="HI24" s="99">
        <v>4000</v>
      </c>
      <c r="HJ24" s="166" t="s">
        <v>1200</v>
      </c>
      <c r="HK24" s="107">
        <f>SUM(HM7:HM7)</f>
        <v>1900.08</v>
      </c>
      <c r="HL24" s="14" t="s">
        <v>2212</v>
      </c>
      <c r="HM24" s="66">
        <v>130</v>
      </c>
      <c r="HN24" s="54" t="s">
        <v>1935</v>
      </c>
      <c r="HO24" s="99">
        <v>2000</v>
      </c>
      <c r="HQ24" s="188"/>
      <c r="HR24" s="152" t="s">
        <v>2213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1885</v>
      </c>
      <c r="HY24" s="197">
        <f>17.86+15.16+7.54+15.3+16.45+13.02</f>
        <v>85.33</v>
      </c>
      <c r="HZ24" s="68" t="s">
        <v>2067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1879</v>
      </c>
      <c r="IG24" s="14">
        <v>1002</v>
      </c>
      <c r="IJ24" s="152" t="s">
        <v>2214</v>
      </c>
      <c r="IK24" s="14">
        <v>60</v>
      </c>
      <c r="IL24" s="70" t="s">
        <v>2070</v>
      </c>
      <c r="IM24" s="14">
        <v>1004</v>
      </c>
      <c r="IO24" s="217"/>
      <c r="IP24" s="152" t="s">
        <v>2215</v>
      </c>
      <c r="IQ24" s="48">
        <v>40.5</v>
      </c>
      <c r="IR24" s="70" t="s">
        <v>2216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2217</v>
      </c>
      <c r="IW24" s="48">
        <v>45.2</v>
      </c>
      <c r="IX24" s="74" t="s">
        <v>2218</v>
      </c>
      <c r="JB24" s="169" t="s">
        <v>1891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2070</v>
      </c>
      <c r="JK24" s="14">
        <v>1000</v>
      </c>
      <c r="JL24" s="198"/>
      <c r="JN24" s="152" t="s">
        <v>2219</v>
      </c>
      <c r="JO24" s="48">
        <f>9+2</f>
        <v>11</v>
      </c>
      <c r="JP24" s="74" t="s">
        <v>2220</v>
      </c>
      <c r="JQ24" s="50">
        <v>14.8</v>
      </c>
      <c r="JR24" s="52" t="s">
        <v>2221</v>
      </c>
      <c r="JS24" s="52"/>
      <c r="JT24" s="152" t="s">
        <v>2222</v>
      </c>
      <c r="JU24" s="48">
        <v>48.2</v>
      </c>
      <c r="JV24" s="74" t="s">
        <v>2223</v>
      </c>
      <c r="JW24" s="48">
        <v>453.6</v>
      </c>
      <c r="JY24" s="211"/>
      <c r="JZ24" s="77" t="s">
        <v>2224</v>
      </c>
      <c r="KA24" s="217">
        <v>1713.69</v>
      </c>
      <c r="KB24" s="74" t="s">
        <v>2225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2226</v>
      </c>
      <c r="KG24" s="106">
        <v>63.1</v>
      </c>
      <c r="KH24" s="68" t="s">
        <v>1597</v>
      </c>
      <c r="KI24" s="238">
        <v>408</v>
      </c>
      <c r="KJ24" s="66" t="s">
        <v>2227</v>
      </c>
      <c r="KK24" s="14">
        <f>20000*(1-0.9814)</f>
        <v>371.99999999999898</v>
      </c>
      <c r="KL24" s="72" t="s">
        <v>1779</v>
      </c>
      <c r="KM24" s="48">
        <v>10.8</v>
      </c>
      <c r="KN24" s="68" t="s">
        <v>1528</v>
      </c>
      <c r="KO24" s="50">
        <v>520</v>
      </c>
      <c r="KP24" s="66" t="s">
        <v>2228</v>
      </c>
      <c r="KQ24" s="185">
        <v>2650.71</v>
      </c>
      <c r="KR24" s="72" t="s">
        <v>2229</v>
      </c>
      <c r="KS24" s="51">
        <v>131.87</v>
      </c>
      <c r="KT24" s="68" t="s">
        <v>1597</v>
      </c>
      <c r="KU24" s="238">
        <v>41061</v>
      </c>
      <c r="KV24" s="66" t="s">
        <v>2230</v>
      </c>
      <c r="KW24" s="211">
        <f>5000*2*(1-0.98105)</f>
        <v>189.50000000000023</v>
      </c>
      <c r="KX24" s="77" t="s">
        <v>1842</v>
      </c>
      <c r="KY24" s="217">
        <f>1338.94-KY25</f>
        <v>1196.72</v>
      </c>
      <c r="KZ24" s="68" t="s">
        <v>2132</v>
      </c>
      <c r="LA24" s="50">
        <v>10</v>
      </c>
      <c r="LC24" s="54"/>
      <c r="LD24" s="72" t="s">
        <v>2231</v>
      </c>
      <c r="LE24" s="61">
        <v>176.86</v>
      </c>
      <c r="LF24" s="70" t="s">
        <v>2070</v>
      </c>
      <c r="LG24" s="50">
        <v>1000</v>
      </c>
      <c r="LH24" s="66"/>
      <c r="LJ24" s="72" t="s">
        <v>2232</v>
      </c>
      <c r="LK24" s="51">
        <v>152.15</v>
      </c>
      <c r="LL24" s="70" t="s">
        <v>2070</v>
      </c>
      <c r="LM24" s="50">
        <v>1000</v>
      </c>
      <c r="LN24" s="66" t="s">
        <v>2233</v>
      </c>
      <c r="LO24" s="254">
        <v>288.38</v>
      </c>
      <c r="LP24" s="72" t="s">
        <v>2234</v>
      </c>
      <c r="LQ24" s="48">
        <f>200+339</f>
        <v>539</v>
      </c>
      <c r="LR24" s="54" t="s">
        <v>2176</v>
      </c>
      <c r="LS24" s="50">
        <v>100</v>
      </c>
      <c r="LT24" s="320"/>
      <c r="LU24" s="320"/>
      <c r="LV24" s="152" t="s">
        <v>2235</v>
      </c>
      <c r="LW24" s="48">
        <v>661.57</v>
      </c>
      <c r="LX24" s="68" t="s">
        <v>2132</v>
      </c>
      <c r="LY24" s="50">
        <v>10</v>
      </c>
      <c r="LZ24" s="320"/>
      <c r="MA24" s="320"/>
      <c r="MB24" s="326" t="s">
        <v>2236</v>
      </c>
      <c r="MC24" s="48">
        <f>17.9+2.5</f>
        <v>20.399999999999999</v>
      </c>
      <c r="MD24" s="68" t="s">
        <v>2132</v>
      </c>
      <c r="ME24" s="50">
        <v>10</v>
      </c>
      <c r="MF24" s="329"/>
      <c r="MG24" s="328"/>
      <c r="MH24" s="326" t="s">
        <v>2237</v>
      </c>
      <c r="MI24" s="48">
        <v>35.82</v>
      </c>
      <c r="MJ24" s="66" t="s">
        <v>2087</v>
      </c>
      <c r="MK24" s="50">
        <v>2600</v>
      </c>
      <c r="ML24" s="329"/>
      <c r="MM24" s="328"/>
      <c r="MN24" s="326" t="s">
        <v>2582</v>
      </c>
      <c r="MO24" s="48">
        <v>80</v>
      </c>
      <c r="MP24" s="66" t="s">
        <v>2087</v>
      </c>
      <c r="MQ24" s="50">
        <v>2600</v>
      </c>
      <c r="MR24" s="320" t="s">
        <v>3461</v>
      </c>
      <c r="MS24" s="328">
        <v>145.19999999999999</v>
      </c>
      <c r="MT24" s="604" t="s">
        <v>3449</v>
      </c>
      <c r="MU24" s="48">
        <v>17.100000000000001</v>
      </c>
      <c r="MV24" s="598" t="s">
        <v>2087</v>
      </c>
      <c r="MW24" s="50">
        <v>2600</v>
      </c>
      <c r="MX24" s="320" t="s">
        <v>3523</v>
      </c>
      <c r="MY24" s="328">
        <v>731.39</v>
      </c>
      <c r="MZ24" s="604" t="s">
        <v>3529</v>
      </c>
      <c r="NA24" s="48">
        <v>8.4</v>
      </c>
      <c r="NB24" s="647" t="s">
        <v>3464</v>
      </c>
      <c r="NC24" s="50">
        <v>966</v>
      </c>
      <c r="ND24" s="587"/>
      <c r="NE24" s="328"/>
      <c r="NF24" s="604" t="s">
        <v>1877</v>
      </c>
      <c r="NG24" s="48"/>
      <c r="NH24" s="668" t="s">
        <v>3421</v>
      </c>
      <c r="NI24" s="50">
        <v>10</v>
      </c>
      <c r="NJ24" s="336">
        <v>45535</v>
      </c>
      <c r="NK24" s="50"/>
    </row>
    <row r="25" spans="1:375">
      <c r="A25" s="723"/>
      <c r="B25" s="723"/>
      <c r="E25" s="564" t="s">
        <v>386</v>
      </c>
      <c r="F25" s="58"/>
      <c r="G25" s="723"/>
      <c r="H25" s="723"/>
      <c r="K25" s="71" t="s">
        <v>2239</v>
      </c>
      <c r="L25" s="14">
        <f>910+40</f>
        <v>950</v>
      </c>
      <c r="M25" s="723"/>
      <c r="N25" s="723"/>
      <c r="Q25" s="71" t="s">
        <v>1680</v>
      </c>
      <c r="R25" s="14">
        <v>0</v>
      </c>
      <c r="S25" s="723"/>
      <c r="T25" s="723"/>
      <c r="W25" s="72" t="s">
        <v>2240</v>
      </c>
      <c r="X25" s="14">
        <v>110.58</v>
      </c>
      <c r="Y25" s="723"/>
      <c r="Z25" s="723"/>
      <c r="AE25" s="723"/>
      <c r="AF25" s="723"/>
      <c r="AK25" s="723"/>
      <c r="AL25" s="723"/>
      <c r="AO25" s="72" t="s">
        <v>2241</v>
      </c>
      <c r="AP25" s="66">
        <v>33</v>
      </c>
      <c r="AR25" s="14"/>
      <c r="AU25" s="72" t="s">
        <v>2242</v>
      </c>
      <c r="AV25" s="66">
        <v>172.57</v>
      </c>
      <c r="AW25" s="723"/>
      <c r="AX25" s="723"/>
      <c r="AY25" s="72"/>
      <c r="AZ25" s="66"/>
      <c r="BA25" s="723"/>
      <c r="BB25" s="723"/>
      <c r="BE25" s="72" t="s">
        <v>1547</v>
      </c>
      <c r="BF25" s="66">
        <f>6.5*2</f>
        <v>13</v>
      </c>
      <c r="BG25" s="723"/>
      <c r="BH25" s="723"/>
      <c r="BK25" s="94" t="s">
        <v>1547</v>
      </c>
      <c r="BL25" s="66">
        <f>6.5*2</f>
        <v>13</v>
      </c>
      <c r="BM25" s="723"/>
      <c r="BN25" s="723"/>
      <c r="BQ25" s="94" t="s">
        <v>1547</v>
      </c>
      <c r="BR25" s="66">
        <v>13</v>
      </c>
      <c r="BS25" s="723"/>
      <c r="BT25" s="723"/>
      <c r="BW25" s="94" t="s">
        <v>1547</v>
      </c>
      <c r="BX25" s="66">
        <v>13</v>
      </c>
      <c r="BY25" s="723"/>
      <c r="BZ25" s="723"/>
      <c r="CC25" s="94" t="s">
        <v>1547</v>
      </c>
      <c r="CD25" s="66">
        <v>13</v>
      </c>
      <c r="CE25" s="723"/>
      <c r="CF25" s="723"/>
      <c r="CI25" s="94" t="s">
        <v>1547</v>
      </c>
      <c r="CJ25" s="66">
        <v>13</v>
      </c>
      <c r="CK25" s="564" t="s">
        <v>372</v>
      </c>
      <c r="CO25" s="94" t="s">
        <v>2098</v>
      </c>
      <c r="CP25" s="66">
        <v>53.24</v>
      </c>
      <c r="CQ25" s="74"/>
      <c r="CR25" s="74"/>
      <c r="CU25" s="94" t="s">
        <v>2092</v>
      </c>
      <c r="CV25" s="66">
        <v>100.001</v>
      </c>
      <c r="CW25" s="116" t="s">
        <v>2243</v>
      </c>
      <c r="CX25" s="116" t="s">
        <v>2244</v>
      </c>
      <c r="DA25" s="123" t="s">
        <v>2185</v>
      </c>
      <c r="DB25" s="49">
        <v>52.3</v>
      </c>
      <c r="DC25" s="116" t="s">
        <v>2245</v>
      </c>
      <c r="DD25" s="116">
        <v>81</v>
      </c>
      <c r="DG25" s="120" t="s">
        <v>2246</v>
      </c>
      <c r="DH25" s="51">
        <v>378.81</v>
      </c>
      <c r="DI25" s="21" t="s">
        <v>2247</v>
      </c>
      <c r="DJ25" s="97">
        <v>10000</v>
      </c>
      <c r="DM25" s="93" t="s">
        <v>1747</v>
      </c>
      <c r="DN25" s="62"/>
      <c r="DO25" s="21" t="s">
        <v>2200</v>
      </c>
      <c r="DP25" s="97">
        <v>5000</v>
      </c>
      <c r="DS25" s="93" t="s">
        <v>1939</v>
      </c>
      <c r="DT25" s="62">
        <v>64</v>
      </c>
      <c r="DU25" s="21" t="s">
        <v>2200</v>
      </c>
      <c r="DV25" s="97">
        <v>5000</v>
      </c>
      <c r="DY25" s="726" t="s">
        <v>2149</v>
      </c>
      <c r="DZ25" s="727"/>
      <c r="EA25" s="21" t="s">
        <v>2248</v>
      </c>
      <c r="EB25" s="97">
        <v>5000</v>
      </c>
      <c r="EE25" s="155" t="s">
        <v>2249</v>
      </c>
      <c r="EF25" s="157"/>
      <c r="EH25" s="54" t="s">
        <v>2250</v>
      </c>
      <c r="EI25" s="99">
        <v>0</v>
      </c>
      <c r="EL25" s="152" t="s">
        <v>2202</v>
      </c>
      <c r="EM25" s="14">
        <v>7</v>
      </c>
      <c r="EN25" s="54" t="s">
        <v>2250</v>
      </c>
      <c r="EO25" s="99">
        <v>0</v>
      </c>
      <c r="ER25" s="725" t="s">
        <v>2149</v>
      </c>
      <c r="ES25" s="725"/>
      <c r="ET25" s="54" t="s">
        <v>1810</v>
      </c>
      <c r="EU25" s="99">
        <v>20000</v>
      </c>
      <c r="EW25" s="734"/>
      <c r="EX25" s="152" t="s">
        <v>2251</v>
      </c>
      <c r="EY25" s="14">
        <v>40.299999999999997</v>
      </c>
      <c r="EZ25" s="54" t="s">
        <v>1753</v>
      </c>
      <c r="FA25" s="99">
        <v>10000</v>
      </c>
      <c r="FB25" s="66"/>
      <c r="FD25" s="152" t="s">
        <v>2252</v>
      </c>
      <c r="FE25" s="14">
        <v>33.9</v>
      </c>
      <c r="FF25" s="54" t="s">
        <v>1753</v>
      </c>
      <c r="FG25" s="99">
        <v>15000</v>
      </c>
      <c r="FJ25" s="152" t="s">
        <v>2253</v>
      </c>
      <c r="FK25" s="14">
        <v>7.3</v>
      </c>
      <c r="FL25" s="54" t="s">
        <v>2104</v>
      </c>
      <c r="FM25" s="99">
        <v>3000</v>
      </c>
      <c r="FN25" s="66"/>
      <c r="FO25" s="69"/>
      <c r="FP25" s="169" t="s">
        <v>2048</v>
      </c>
      <c r="FQ25" s="14">
        <f>7.74+13.99+8.86+10.74+6.17</f>
        <v>47.5</v>
      </c>
      <c r="FR25" s="54" t="s">
        <v>2104</v>
      </c>
      <c r="FS25" s="99">
        <v>1000</v>
      </c>
      <c r="FT25" s="14" t="s">
        <v>2000</v>
      </c>
      <c r="FU25" s="14">
        <f>1346.59-FU20</f>
        <v>146.58999999999992</v>
      </c>
      <c r="FV25" s="169" t="s">
        <v>2048</v>
      </c>
      <c r="FW25" s="14">
        <f>15.09+8.94+6.74+13.3+10+14.76</f>
        <v>68.830000000000013</v>
      </c>
      <c r="FX25" s="54" t="s">
        <v>2104</v>
      </c>
      <c r="FY25" s="99">
        <v>3000</v>
      </c>
      <c r="GB25" s="169" t="s">
        <v>2254</v>
      </c>
      <c r="GC25" s="14">
        <v>6</v>
      </c>
      <c r="GD25" s="54" t="s">
        <v>2104</v>
      </c>
      <c r="GE25" s="99">
        <v>3000</v>
      </c>
      <c r="GH25" s="169" t="s">
        <v>2255</v>
      </c>
      <c r="GI25" s="14">
        <v>11.24</v>
      </c>
      <c r="GJ25" s="54" t="s">
        <v>1809</v>
      </c>
      <c r="GK25" s="99">
        <v>25000</v>
      </c>
      <c r="GN25" s="169" t="s">
        <v>1939</v>
      </c>
      <c r="GO25" s="14" t="s">
        <v>1994</v>
      </c>
      <c r="GP25" s="54" t="s">
        <v>1583</v>
      </c>
      <c r="GQ25" s="99">
        <v>25000</v>
      </c>
      <c r="GT25" s="169" t="s">
        <v>1885</v>
      </c>
      <c r="GU25" s="14">
        <f>19.42+13.02+12.12+17.99+16.7+14.44</f>
        <v>93.69</v>
      </c>
      <c r="GV25" s="54" t="s">
        <v>1935</v>
      </c>
      <c r="GW25" s="99">
        <v>2000</v>
      </c>
      <c r="GX25" s="66"/>
      <c r="GZ25" s="152" t="s">
        <v>2256</v>
      </c>
      <c r="HA25" s="14">
        <f>35+4</f>
        <v>39</v>
      </c>
      <c r="HB25" s="54" t="s">
        <v>1583</v>
      </c>
      <c r="HC25" s="99">
        <v>25000</v>
      </c>
      <c r="HD25" s="14" t="s">
        <v>2257</v>
      </c>
      <c r="HF25" s="169" t="s">
        <v>2258</v>
      </c>
      <c r="HG25" s="14">
        <f>9+10.96</f>
        <v>19.96</v>
      </c>
      <c r="HH25" s="66" t="s">
        <v>1701</v>
      </c>
      <c r="HI25" s="99" t="s">
        <v>1812</v>
      </c>
      <c r="HJ25" s="176" t="s">
        <v>1246</v>
      </c>
      <c r="HK25" s="107">
        <f>SUM(HM8:HM9)</f>
        <v>2450.5333333333333</v>
      </c>
      <c r="HL25" s="49" t="s">
        <v>2259</v>
      </c>
      <c r="HM25" s="49">
        <v>530</v>
      </c>
      <c r="HN25" s="54" t="s">
        <v>1995</v>
      </c>
      <c r="HO25" s="99">
        <v>4000</v>
      </c>
      <c r="HQ25" s="188"/>
      <c r="HR25" s="152" t="s">
        <v>2260</v>
      </c>
      <c r="HS25" s="14">
        <v>26.6</v>
      </c>
      <c r="HT25" s="82" t="s">
        <v>2261</v>
      </c>
      <c r="HV25" s="77" t="s">
        <v>1246</v>
      </c>
      <c r="HW25" s="107">
        <f>SUM(HY10:HY15)</f>
        <v>185426.5633333333</v>
      </c>
      <c r="HX25" s="152" t="s">
        <v>2262</v>
      </c>
      <c r="HY25" s="14">
        <f>10+10</f>
        <v>20</v>
      </c>
      <c r="HZ25" s="54" t="s">
        <v>2263</v>
      </c>
      <c r="IA25" s="99">
        <v>-13000</v>
      </c>
      <c r="IB25" s="715" t="s">
        <v>2117</v>
      </c>
      <c r="IC25" s="715"/>
      <c r="ID25" s="169" t="s">
        <v>2114</v>
      </c>
      <c r="IE25" s="14">
        <v>32</v>
      </c>
      <c r="IF25" s="70" t="s">
        <v>2264</v>
      </c>
      <c r="IG25" s="14">
        <v>4</v>
      </c>
      <c r="IH25" s="14" t="s">
        <v>1711</v>
      </c>
      <c r="II25" s="217"/>
      <c r="IJ25" s="152" t="s">
        <v>2265</v>
      </c>
      <c r="IK25" s="14">
        <v>10</v>
      </c>
      <c r="IL25" s="70" t="s">
        <v>2264</v>
      </c>
      <c r="IM25" s="14">
        <v>4</v>
      </c>
      <c r="IO25" s="217"/>
      <c r="IP25" s="152" t="s">
        <v>2266</v>
      </c>
      <c r="IQ25" s="48">
        <v>88.51</v>
      </c>
      <c r="IR25" s="70" t="s">
        <v>2267</v>
      </c>
      <c r="IS25" s="14" t="s">
        <v>2268</v>
      </c>
      <c r="IT25" s="174" t="s">
        <v>1237</v>
      </c>
      <c r="IU25" s="173">
        <f>SUM(IW10:IW12)</f>
        <v>2514.06</v>
      </c>
      <c r="IV25" s="152" t="s">
        <v>2269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2270</v>
      </c>
      <c r="JI25" s="48">
        <v>20</v>
      </c>
      <c r="JJ25" s="74" t="s">
        <v>2123</v>
      </c>
      <c r="JN25" s="152" t="s">
        <v>2271</v>
      </c>
      <c r="JO25" s="48">
        <v>16.100000000000001</v>
      </c>
      <c r="JP25" s="74" t="s">
        <v>2123</v>
      </c>
      <c r="JQ25" s="50"/>
      <c r="JR25" s="253" t="s">
        <v>1200</v>
      </c>
      <c r="JS25" s="96">
        <f>SUM(JU6:JU7)</f>
        <v>3900.06</v>
      </c>
      <c r="JT25" s="152" t="s">
        <v>2272</v>
      </c>
      <c r="JU25" s="48">
        <v>68.900000000000006</v>
      </c>
      <c r="JV25" s="74" t="s">
        <v>2218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2273</v>
      </c>
      <c r="KG25" s="106">
        <v>45.74</v>
      </c>
      <c r="KH25" s="68" t="s">
        <v>1835</v>
      </c>
      <c r="KI25" s="50" t="s">
        <v>1952</v>
      </c>
      <c r="KJ25" s="66" t="s">
        <v>2274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2275</v>
      </c>
      <c r="KR25" s="72" t="s">
        <v>1547</v>
      </c>
      <c r="KS25" s="48">
        <f>15+6.5</f>
        <v>21.5</v>
      </c>
      <c r="KT25" s="68" t="s">
        <v>2132</v>
      </c>
      <c r="KU25" s="50">
        <v>10</v>
      </c>
      <c r="KV25" s="66"/>
      <c r="KX25" s="72" t="s">
        <v>1325</v>
      </c>
      <c r="KY25" s="85">
        <v>142.22</v>
      </c>
      <c r="KZ25" s="54" t="s">
        <v>2176</v>
      </c>
      <c r="LA25" s="50">
        <v>90</v>
      </c>
      <c r="LD25" s="72" t="s">
        <v>1474</v>
      </c>
      <c r="LE25" s="48">
        <v>72.06</v>
      </c>
      <c r="LF25" s="70" t="s">
        <v>2276</v>
      </c>
      <c r="LG25" s="50"/>
      <c r="LJ25" s="72" t="s">
        <v>2277</v>
      </c>
      <c r="LK25" s="51">
        <v>153.1</v>
      </c>
      <c r="LL25" s="74" t="s">
        <v>2218</v>
      </c>
      <c r="LM25" s="48"/>
      <c r="LN25" s="66" t="s">
        <v>2278</v>
      </c>
      <c r="LO25" s="48">
        <v>3.95</v>
      </c>
      <c r="LP25" s="72" t="s">
        <v>2279</v>
      </c>
      <c r="LQ25" s="51">
        <f>3.87</f>
        <v>3.87</v>
      </c>
      <c r="LR25" s="70" t="s">
        <v>2070</v>
      </c>
      <c r="LS25" s="50">
        <v>1000</v>
      </c>
      <c r="LT25" s="320"/>
      <c r="LU25" s="320"/>
      <c r="LV25" s="152" t="s">
        <v>2280</v>
      </c>
      <c r="LW25" s="48">
        <f>5.5+3</f>
        <v>8.5</v>
      </c>
      <c r="LX25" s="54" t="s">
        <v>2176</v>
      </c>
      <c r="LY25" s="50">
        <v>160</v>
      </c>
      <c r="LZ25" s="320"/>
      <c r="MA25" s="320"/>
      <c r="MB25" s="326" t="s">
        <v>2281</v>
      </c>
      <c r="MC25" s="48">
        <v>13.95</v>
      </c>
      <c r="MD25" s="54" t="s">
        <v>2176</v>
      </c>
      <c r="ME25" s="50">
        <v>130</v>
      </c>
      <c r="MF25" s="329"/>
      <c r="MG25" s="328"/>
      <c r="MH25" s="326" t="s">
        <v>2282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2283</v>
      </c>
      <c r="MO25" s="48">
        <f>48.32+7.79</f>
        <v>56.11</v>
      </c>
      <c r="MP25" s="68" t="s">
        <v>1528</v>
      </c>
      <c r="MQ25" s="50">
        <v>652</v>
      </c>
      <c r="MT25" s="604" t="s">
        <v>2783</v>
      </c>
      <c r="MU25" s="48">
        <f>38.4+22.6+34+24.9</f>
        <v>119.9</v>
      </c>
      <c r="MV25" s="601" t="s">
        <v>3464</v>
      </c>
      <c r="MW25" s="50">
        <v>615</v>
      </c>
      <c r="MX25" s="320" t="s">
        <v>3547</v>
      </c>
      <c r="MY25" s="328">
        <v>25</v>
      </c>
      <c r="MZ25" s="652" t="s">
        <v>3445</v>
      </c>
      <c r="NA25" s="48">
        <f>749.38+250.7</f>
        <v>1000.0799999999999</v>
      </c>
      <c r="NB25" s="647" t="s">
        <v>3452</v>
      </c>
      <c r="NC25" s="50">
        <v>1082</v>
      </c>
      <c r="ND25" s="320"/>
      <c r="NE25" s="328"/>
      <c r="NF25" s="604" t="s">
        <v>1877</v>
      </c>
      <c r="NG25" s="48"/>
      <c r="NH25" s="662" t="s">
        <v>2176</v>
      </c>
      <c r="NI25" s="50">
        <v>140</v>
      </c>
      <c r="NJ25" s="336">
        <v>45535</v>
      </c>
      <c r="NK25" s="50"/>
    </row>
    <row r="26" spans="1:375">
      <c r="A26" s="723"/>
      <c r="B26" s="723"/>
      <c r="F26" s="67"/>
      <c r="G26" s="723"/>
      <c r="H26" s="723"/>
      <c r="M26" s="728" t="s">
        <v>372</v>
      </c>
      <c r="N26" s="723"/>
      <c r="Q26" s="71" t="s">
        <v>1736</v>
      </c>
      <c r="R26" s="14">
        <v>0</v>
      </c>
      <c r="S26" s="728" t="s">
        <v>372</v>
      </c>
      <c r="T26" s="723"/>
      <c r="W26" s="72" t="s">
        <v>1918</v>
      </c>
      <c r="X26" s="14">
        <v>60.75</v>
      </c>
      <c r="Y26" s="723"/>
      <c r="Z26" s="723"/>
      <c r="AC26" s="21" t="s">
        <v>2284</v>
      </c>
      <c r="AD26" s="21"/>
      <c r="AE26" s="728" t="s">
        <v>372</v>
      </c>
      <c r="AF26" s="723"/>
      <c r="AI26" s="66" t="s">
        <v>2285</v>
      </c>
      <c r="AJ26" s="14">
        <v>210</v>
      </c>
      <c r="AK26" s="564" t="s">
        <v>372</v>
      </c>
      <c r="AL26" s="564" t="s">
        <v>372</v>
      </c>
      <c r="AO26" s="72" t="s">
        <v>2286</v>
      </c>
      <c r="AP26" s="66">
        <v>28.94</v>
      </c>
      <c r="AQ26" s="564" t="s">
        <v>372</v>
      </c>
      <c r="AR26" s="14"/>
      <c r="AU26" s="72" t="s">
        <v>2287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1986</v>
      </c>
      <c r="BF26" s="66">
        <v>155.44999999999999</v>
      </c>
      <c r="BG26" s="564" t="s">
        <v>372</v>
      </c>
      <c r="BH26" s="14"/>
      <c r="BK26" s="94" t="s">
        <v>1986</v>
      </c>
      <c r="BL26" s="66">
        <v>134.08000000000001</v>
      </c>
      <c r="BM26" s="564" t="s">
        <v>372</v>
      </c>
      <c r="BN26" s="14"/>
      <c r="BQ26" s="94" t="s">
        <v>1986</v>
      </c>
      <c r="BR26" s="66">
        <v>130.34</v>
      </c>
      <c r="BS26" s="564" t="s">
        <v>372</v>
      </c>
      <c r="BW26" s="94" t="s">
        <v>1986</v>
      </c>
      <c r="BX26" s="66">
        <v>138.9</v>
      </c>
      <c r="BY26" s="564" t="s">
        <v>372</v>
      </c>
      <c r="CC26" s="94" t="s">
        <v>1866</v>
      </c>
      <c r="CD26" s="66">
        <v>138.30000000000001</v>
      </c>
      <c r="CE26" s="564" t="s">
        <v>372</v>
      </c>
      <c r="CI26" s="94" t="s">
        <v>1866</v>
      </c>
      <c r="CJ26" s="66">
        <v>137.85</v>
      </c>
      <c r="CK26" s="74" t="s">
        <v>2288</v>
      </c>
      <c r="CL26" s="62"/>
      <c r="CO26" s="94" t="s">
        <v>2143</v>
      </c>
      <c r="CP26" s="66">
        <v>64</v>
      </c>
      <c r="CQ26" s="564" t="s">
        <v>372</v>
      </c>
      <c r="CU26" s="108" t="s">
        <v>2289</v>
      </c>
      <c r="CV26" s="66">
        <f>16.33+8.5</f>
        <v>24.83</v>
      </c>
      <c r="CW26" s="116" t="s">
        <v>2290</v>
      </c>
      <c r="CX26" s="581" t="s">
        <v>2291</v>
      </c>
      <c r="DA26" s="123" t="s">
        <v>2292</v>
      </c>
      <c r="DB26" s="49">
        <v>43.31</v>
      </c>
      <c r="DC26" s="116" t="s">
        <v>2293</v>
      </c>
      <c r="DD26" s="116">
        <v>101</v>
      </c>
      <c r="DG26" s="121" t="s">
        <v>1802</v>
      </c>
      <c r="DH26" s="51">
        <f>395.9+637.65</f>
        <v>1033.55</v>
      </c>
      <c r="DI26" s="21" t="s">
        <v>2294</v>
      </c>
      <c r="DJ26" s="22" t="s">
        <v>1812</v>
      </c>
      <c r="DM26" s="93" t="s">
        <v>1547</v>
      </c>
      <c r="DN26" s="62">
        <f>13+30</f>
        <v>43</v>
      </c>
      <c r="DO26" s="21" t="s">
        <v>2248</v>
      </c>
      <c r="DP26" s="97">
        <v>5000</v>
      </c>
      <c r="DS26" s="93" t="s">
        <v>2295</v>
      </c>
      <c r="DT26" s="62">
        <v>35</v>
      </c>
      <c r="DU26" s="21" t="s">
        <v>2248</v>
      </c>
      <c r="DV26" s="97">
        <v>5000</v>
      </c>
      <c r="DY26" s="156">
        <v>100</v>
      </c>
      <c r="DZ26" s="137">
        <f>DV12+DY26-EB11</f>
        <v>140</v>
      </c>
      <c r="EA26" s="21" t="s">
        <v>2296</v>
      </c>
      <c r="EB26" s="97">
        <v>5000</v>
      </c>
      <c r="EE26" s="21" t="s">
        <v>2297</v>
      </c>
      <c r="EF26" s="21"/>
      <c r="EG26" s="163"/>
      <c r="EH26" s="82" t="s">
        <v>2298</v>
      </c>
      <c r="EI26" s="82"/>
      <c r="EL26" s="152" t="s">
        <v>2299</v>
      </c>
      <c r="EM26" s="14">
        <v>9.9</v>
      </c>
      <c r="EN26" s="82" t="s">
        <v>2298</v>
      </c>
      <c r="EO26" s="82"/>
      <c r="ER26" s="170">
        <f>200+250</f>
        <v>450</v>
      </c>
      <c r="ES26" s="171">
        <f>EO9+ER26-EU9</f>
        <v>260</v>
      </c>
      <c r="ET26" s="54" t="s">
        <v>1805</v>
      </c>
      <c r="EU26" s="99">
        <v>10000</v>
      </c>
      <c r="EX26" s="725" t="s">
        <v>2149</v>
      </c>
      <c r="EY26" s="725"/>
      <c r="EZ26" s="54" t="s">
        <v>1810</v>
      </c>
      <c r="FA26" s="99">
        <v>30000</v>
      </c>
      <c r="FD26" s="152" t="s">
        <v>2300</v>
      </c>
      <c r="FE26" s="14">
        <v>57.12</v>
      </c>
      <c r="FF26" s="54" t="s">
        <v>1810</v>
      </c>
      <c r="FG26" s="99">
        <v>30000</v>
      </c>
      <c r="FJ26" s="152" t="s">
        <v>2301</v>
      </c>
      <c r="FK26" s="14">
        <f>40.89-20</f>
        <v>20.89</v>
      </c>
      <c r="FL26" s="54" t="s">
        <v>2104</v>
      </c>
      <c r="FM26" s="99">
        <v>1000</v>
      </c>
      <c r="FN26" s="66"/>
      <c r="FO26" s="66"/>
      <c r="FP26" s="152" t="s">
        <v>2302</v>
      </c>
      <c r="FQ26" s="14">
        <v>49.7</v>
      </c>
      <c r="FR26" s="54" t="s">
        <v>1810</v>
      </c>
      <c r="FS26" s="99">
        <v>10000</v>
      </c>
      <c r="FT26" s="564" t="s">
        <v>2055</v>
      </c>
      <c r="FU26" s="14">
        <f>242.32-FU21</f>
        <v>42.319999999999993</v>
      </c>
      <c r="FV26" s="152" t="s">
        <v>2162</v>
      </c>
      <c r="FW26" s="14">
        <v>70</v>
      </c>
      <c r="FX26" s="54" t="s">
        <v>2104</v>
      </c>
      <c r="FY26" s="99">
        <v>1000</v>
      </c>
      <c r="FZ26" s="66"/>
      <c r="GB26" s="169" t="s">
        <v>2208</v>
      </c>
      <c r="GC26" s="14">
        <v>9</v>
      </c>
      <c r="GD26" s="54" t="s">
        <v>2104</v>
      </c>
      <c r="GE26" s="99">
        <v>1000</v>
      </c>
      <c r="GH26" s="169" t="s">
        <v>2208</v>
      </c>
      <c r="GI26" s="14">
        <v>9</v>
      </c>
      <c r="GJ26" s="54" t="s">
        <v>2050</v>
      </c>
      <c r="GK26" s="99">
        <v>2000</v>
      </c>
      <c r="GL26" s="66"/>
      <c r="GN26" s="169" t="s">
        <v>2208</v>
      </c>
      <c r="GO26" s="14">
        <v>9</v>
      </c>
      <c r="GP26" s="54" t="s">
        <v>1935</v>
      </c>
      <c r="GQ26" s="99">
        <v>2000</v>
      </c>
      <c r="GT26" s="152" t="s">
        <v>2303</v>
      </c>
      <c r="GU26" s="14">
        <v>8</v>
      </c>
      <c r="GV26" s="54" t="s">
        <v>1995</v>
      </c>
      <c r="GW26" s="99">
        <v>4000</v>
      </c>
      <c r="GX26" s="54"/>
      <c r="GY26" s="69"/>
      <c r="GZ26" s="152" t="s">
        <v>2304</v>
      </c>
      <c r="HA26" s="14">
        <v>20</v>
      </c>
      <c r="HB26" s="54" t="s">
        <v>1935</v>
      </c>
      <c r="HC26" s="99">
        <v>2000</v>
      </c>
      <c r="HD26" s="74"/>
      <c r="HF26" s="169" t="s">
        <v>1939</v>
      </c>
      <c r="HG26" s="14">
        <v>64</v>
      </c>
      <c r="HH26" s="82" t="s">
        <v>2298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2305</v>
      </c>
      <c r="HN26" s="82" t="s">
        <v>2298</v>
      </c>
      <c r="HO26" s="102"/>
      <c r="HP26" s="715" t="s">
        <v>2117</v>
      </c>
      <c r="HQ26" s="715"/>
      <c r="HR26" s="152" t="s">
        <v>2306</v>
      </c>
      <c r="HS26" s="14">
        <v>10</v>
      </c>
      <c r="HT26" s="70" t="s">
        <v>2264</v>
      </c>
      <c r="HU26" s="14">
        <v>4</v>
      </c>
      <c r="HV26" s="162" t="s">
        <v>2307</v>
      </c>
      <c r="HW26" s="14">
        <f>SUM(HY9:HY9)</f>
        <v>535</v>
      </c>
      <c r="HX26" s="152" t="s">
        <v>2308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2309</v>
      </c>
      <c r="IG26" s="99"/>
      <c r="IH26" s="198" t="s">
        <v>2310</v>
      </c>
      <c r="II26" s="211">
        <v>19.45</v>
      </c>
      <c r="IJ26" s="152" t="s">
        <v>2311</v>
      </c>
      <c r="IK26" s="14">
        <f>91.7+12</f>
        <v>103.7</v>
      </c>
      <c r="IL26" s="74" t="s">
        <v>2312</v>
      </c>
      <c r="IM26" s="102"/>
      <c r="IN26" s="198"/>
      <c r="IO26" s="211"/>
      <c r="IP26" s="241" t="s">
        <v>2313</v>
      </c>
      <c r="IQ26" s="48">
        <v>58.4</v>
      </c>
      <c r="IR26" s="74" t="s">
        <v>2314</v>
      </c>
      <c r="IS26" s="14">
        <v>1000</v>
      </c>
      <c r="IT26" s="162" t="s">
        <v>2307</v>
      </c>
      <c r="IU26" s="173">
        <f>SUM(IW13:IW13)</f>
        <v>170</v>
      </c>
      <c r="IV26" s="14" t="s">
        <v>2315</v>
      </c>
      <c r="IW26" s="62">
        <f>2+59+11+23</f>
        <v>95</v>
      </c>
      <c r="IX26" s="74"/>
      <c r="IZ26" s="193"/>
      <c r="JA26" s="211"/>
      <c r="JB26" s="152" t="s">
        <v>2316</v>
      </c>
      <c r="JC26" s="48">
        <v>10</v>
      </c>
      <c r="JD26" s="70"/>
      <c r="JH26" s="152" t="s">
        <v>2317</v>
      </c>
      <c r="JI26" s="48">
        <v>30</v>
      </c>
      <c r="JJ26" s="74" t="s">
        <v>2218</v>
      </c>
      <c r="JL26" s="52" t="s">
        <v>2221</v>
      </c>
      <c r="JM26" s="52"/>
      <c r="JN26" s="152" t="s">
        <v>2318</v>
      </c>
      <c r="JO26" s="106">
        <v>42.9</v>
      </c>
      <c r="JP26" s="74" t="s">
        <v>2319</v>
      </c>
      <c r="JQ26" s="50">
        <v>15</v>
      </c>
      <c r="JR26" s="176" t="s">
        <v>2320</v>
      </c>
      <c r="JS26" s="96">
        <f>SUM(JU11:JU13)</f>
        <v>5390.235999999999</v>
      </c>
      <c r="JT26" s="152" t="s">
        <v>2321</v>
      </c>
      <c r="JU26" s="48">
        <v>41.5</v>
      </c>
      <c r="JV26" s="74"/>
      <c r="JW26" s="48"/>
      <c r="JZ26" s="169" t="s">
        <v>2322</v>
      </c>
      <c r="KA26" s="48">
        <v>219</v>
      </c>
      <c r="KB26" s="74" t="s">
        <v>2218</v>
      </c>
      <c r="KC26" s="48"/>
      <c r="KF26" s="152" t="s">
        <v>2323</v>
      </c>
      <c r="KG26" s="106">
        <v>21.12</v>
      </c>
      <c r="KH26" s="68" t="s">
        <v>1898</v>
      </c>
      <c r="KI26" s="50">
        <v>15</v>
      </c>
      <c r="KL26" s="152" t="s">
        <v>2324</v>
      </c>
      <c r="KM26" s="48">
        <f>80+115</f>
        <v>195</v>
      </c>
      <c r="KN26" s="82" t="s">
        <v>2325</v>
      </c>
      <c r="KO26" s="238"/>
      <c r="KQ26" s="54"/>
      <c r="KR26" s="72" t="s">
        <v>1612</v>
      </c>
      <c r="KS26" s="48">
        <f>14.32+9+9</f>
        <v>32.32</v>
      </c>
      <c r="KT26" s="54" t="s">
        <v>2176</v>
      </c>
      <c r="KU26" s="50">
        <v>100</v>
      </c>
      <c r="KV26" s="66"/>
      <c r="KX26" s="72" t="s">
        <v>2133</v>
      </c>
      <c r="KY26" s="61">
        <v>176.15</v>
      </c>
      <c r="KZ26" s="70" t="s">
        <v>2070</v>
      </c>
      <c r="LA26" s="50">
        <v>1000</v>
      </c>
      <c r="LD26" s="72" t="s">
        <v>2326</v>
      </c>
      <c r="LE26" s="48">
        <v>30</v>
      </c>
      <c r="LF26" s="74" t="s">
        <v>2123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2327</v>
      </c>
      <c r="LO26" s="48">
        <v>91.25</v>
      </c>
      <c r="LP26" s="72" t="s">
        <v>1547</v>
      </c>
      <c r="LQ26" s="48">
        <v>10</v>
      </c>
      <c r="LR26" s="74" t="s">
        <v>2218</v>
      </c>
      <c r="LS26" s="48"/>
      <c r="LT26" s="320"/>
      <c r="LU26" s="320"/>
      <c r="LV26" s="152" t="s">
        <v>2328</v>
      </c>
      <c r="LW26" s="48">
        <v>80</v>
      </c>
      <c r="LX26" s="70" t="s">
        <v>2070</v>
      </c>
      <c r="LY26" s="50">
        <v>1000</v>
      </c>
      <c r="LZ26" s="320"/>
      <c r="MA26" s="320"/>
      <c r="MB26" s="326" t="s">
        <v>2329</v>
      </c>
      <c r="MC26" s="48">
        <v>45.4</v>
      </c>
      <c r="MD26" s="70" t="s">
        <v>2070</v>
      </c>
      <c r="ME26" s="50">
        <v>1000</v>
      </c>
      <c r="MF26" s="329"/>
      <c r="MG26" s="328"/>
      <c r="MH26" s="326" t="s">
        <v>2330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2331</v>
      </c>
      <c r="MO26" s="48">
        <v>60.79</v>
      </c>
      <c r="MP26" s="68" t="s">
        <v>1597</v>
      </c>
      <c r="MQ26" s="50">
        <v>1107</v>
      </c>
      <c r="MR26" s="667"/>
      <c r="MT26" s="604" t="s">
        <v>3456</v>
      </c>
      <c r="MU26" s="48">
        <v>73.86</v>
      </c>
      <c r="MV26" s="601" t="s">
        <v>3452</v>
      </c>
      <c r="MW26" s="50">
        <v>1100</v>
      </c>
      <c r="MX26" s="644"/>
      <c r="MY26" s="254"/>
      <c r="MZ26" s="652" t="s">
        <v>1518</v>
      </c>
      <c r="NA26" s="48">
        <v>588.6</v>
      </c>
      <c r="NB26" s="647" t="s">
        <v>3421</v>
      </c>
      <c r="NC26" s="50">
        <v>10</v>
      </c>
      <c r="ND26" s="320"/>
      <c r="NE26" s="328"/>
      <c r="NF26" s="652" t="s">
        <v>3541</v>
      </c>
      <c r="NG26" s="48"/>
      <c r="NH26" s="662" t="s">
        <v>3499</v>
      </c>
      <c r="NI26" s="50">
        <v>1000</v>
      </c>
      <c r="NJ26" s="336"/>
      <c r="NK26" s="50"/>
    </row>
    <row r="27" spans="1:375" ht="12.75" customHeight="1">
      <c r="A27" s="723"/>
      <c r="B27" s="723"/>
      <c r="E27" s="567" t="s">
        <v>418</v>
      </c>
      <c r="F27" s="67"/>
      <c r="G27" s="723"/>
      <c r="H27" s="723"/>
      <c r="K27" s="72" t="s">
        <v>2332</v>
      </c>
      <c r="L27" s="14">
        <f>60</f>
        <v>60</v>
      </c>
      <c r="M27" s="728" t="s">
        <v>2333</v>
      </c>
      <c r="N27" s="723"/>
      <c r="Q27" s="71" t="s">
        <v>2334</v>
      </c>
      <c r="R27" s="66">
        <v>200</v>
      </c>
      <c r="S27" s="728" t="s">
        <v>2333</v>
      </c>
      <c r="T27" s="723"/>
      <c r="W27" s="72" t="s">
        <v>1986</v>
      </c>
      <c r="X27" s="14">
        <v>61.35</v>
      </c>
      <c r="Y27" s="728" t="s">
        <v>372</v>
      </c>
      <c r="Z27" s="723"/>
      <c r="AC27" s="21" t="s">
        <v>2335</v>
      </c>
      <c r="AD27" s="21">
        <f>53+207+63</f>
        <v>323</v>
      </c>
      <c r="AE27" s="728" t="s">
        <v>2333</v>
      </c>
      <c r="AF27" s="723"/>
      <c r="AI27" s="14" t="s">
        <v>2336</v>
      </c>
      <c r="AJ27" s="14">
        <f>299+19</f>
        <v>318</v>
      </c>
      <c r="AK27" s="564" t="s">
        <v>2333</v>
      </c>
      <c r="AL27" s="564" t="s">
        <v>2333</v>
      </c>
      <c r="AO27" s="72" t="s">
        <v>2337</v>
      </c>
      <c r="AP27" s="66">
        <v>43.86</v>
      </c>
      <c r="AQ27" s="564" t="s">
        <v>2333</v>
      </c>
      <c r="AR27" s="14"/>
      <c r="AU27" s="72" t="s">
        <v>2338</v>
      </c>
      <c r="AV27" s="66">
        <f>13+13</f>
        <v>26</v>
      </c>
      <c r="AW27" s="564" t="s">
        <v>2333</v>
      </c>
      <c r="AX27" s="14"/>
      <c r="AY27" s="72"/>
      <c r="AZ27" s="66"/>
      <c r="BA27" s="564" t="s">
        <v>2333</v>
      </c>
      <c r="BB27" s="14"/>
      <c r="BE27" s="72" t="s">
        <v>2339</v>
      </c>
      <c r="BF27" s="66" t="s">
        <v>663</v>
      </c>
      <c r="BG27" s="564" t="s">
        <v>2333</v>
      </c>
      <c r="BH27" s="14"/>
      <c r="BK27" s="94" t="s">
        <v>2339</v>
      </c>
      <c r="BL27" s="66">
        <v>11</v>
      </c>
      <c r="BM27" s="564" t="s">
        <v>2333</v>
      </c>
      <c r="BN27" s="14"/>
      <c r="BQ27" s="94" t="s">
        <v>2340</v>
      </c>
      <c r="BR27" s="66">
        <v>11</v>
      </c>
      <c r="BS27" s="564" t="s">
        <v>2333</v>
      </c>
      <c r="BW27" s="94" t="s">
        <v>2341</v>
      </c>
      <c r="BX27" s="66">
        <v>11</v>
      </c>
      <c r="BY27" s="564" t="s">
        <v>2333</v>
      </c>
      <c r="CC27" s="94" t="s">
        <v>2339</v>
      </c>
      <c r="CD27" s="66">
        <v>11</v>
      </c>
      <c r="CE27" s="564" t="s">
        <v>2333</v>
      </c>
      <c r="CI27" s="94" t="s">
        <v>2342</v>
      </c>
      <c r="CJ27" s="66">
        <v>53.24</v>
      </c>
      <c r="CK27" s="564" t="s">
        <v>2333</v>
      </c>
      <c r="CO27" s="94" t="s">
        <v>2092</v>
      </c>
      <c r="CP27" s="66">
        <v>100.001</v>
      </c>
      <c r="CQ27" s="564" t="s">
        <v>2333</v>
      </c>
      <c r="CU27" s="108" t="s">
        <v>2343</v>
      </c>
      <c r="CV27" s="49">
        <f>72+11+5.8</f>
        <v>88.8</v>
      </c>
      <c r="CW27" s="116" t="s">
        <v>2344</v>
      </c>
      <c r="CX27" s="581" t="s">
        <v>2345</v>
      </c>
      <c r="DA27" s="123" t="s">
        <v>2346</v>
      </c>
      <c r="DB27" s="66">
        <v>60</v>
      </c>
      <c r="DC27" s="116"/>
      <c r="DD27" s="117"/>
      <c r="DE27" s="49" t="s">
        <v>2347</v>
      </c>
      <c r="DG27" s="121" t="s">
        <v>1878</v>
      </c>
      <c r="DH27" s="124">
        <v>13.57</v>
      </c>
      <c r="DI27" s="21" t="s">
        <v>2348</v>
      </c>
      <c r="DJ27" s="22" t="s">
        <v>1812</v>
      </c>
      <c r="DM27" s="93" t="s">
        <v>1866</v>
      </c>
      <c r="DN27" s="62">
        <v>134.44999999999999</v>
      </c>
      <c r="DO27" s="21" t="s">
        <v>2296</v>
      </c>
      <c r="DP27" s="97">
        <v>5000</v>
      </c>
      <c r="DS27" s="93" t="s">
        <v>2048</v>
      </c>
      <c r="DT27" s="62">
        <f>12.32+17.25+(1.31*2)+9.98+13.82+14.98+2.1+2.02</f>
        <v>75.089999999999989</v>
      </c>
      <c r="DU27" s="21" t="s">
        <v>2296</v>
      </c>
      <c r="DV27" s="97">
        <v>5000</v>
      </c>
      <c r="DY27" s="155" t="s">
        <v>2349</v>
      </c>
      <c r="DZ27" s="157"/>
      <c r="EA27" s="21" t="s">
        <v>2350</v>
      </c>
      <c r="EB27" s="22" t="s">
        <v>646</v>
      </c>
      <c r="EE27" s="21" t="s">
        <v>2351</v>
      </c>
      <c r="EF27" s="21"/>
      <c r="EG27" s="164"/>
      <c r="EH27" s="54"/>
      <c r="EI27" s="54"/>
      <c r="EL27" s="152" t="s">
        <v>2352</v>
      </c>
      <c r="EM27" s="14">
        <v>64.849999999999994</v>
      </c>
      <c r="EN27" s="74" t="s">
        <v>2353</v>
      </c>
      <c r="EO27" s="107">
        <v>807.9</v>
      </c>
      <c r="ER27" s="157" t="s">
        <v>2354</v>
      </c>
      <c r="ES27" s="157"/>
      <c r="ET27" s="54" t="s">
        <v>1867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1805</v>
      </c>
      <c r="FA27" s="99">
        <v>11010</v>
      </c>
      <c r="FD27" s="725" t="s">
        <v>2355</v>
      </c>
      <c r="FE27" s="725"/>
      <c r="FF27" s="54" t="s">
        <v>1805</v>
      </c>
      <c r="FG27" s="99">
        <v>11010</v>
      </c>
      <c r="FJ27" s="152" t="s">
        <v>2356</v>
      </c>
      <c r="FK27" s="14">
        <v>8</v>
      </c>
      <c r="FL27" s="66" t="s">
        <v>2357</v>
      </c>
      <c r="FM27" s="99" t="s">
        <v>1812</v>
      </c>
      <c r="FN27" s="66"/>
      <c r="FP27" s="152" t="s">
        <v>2358</v>
      </c>
      <c r="FQ27" s="14">
        <v>17.399999999999999</v>
      </c>
      <c r="FR27" s="54" t="s">
        <v>1805</v>
      </c>
      <c r="FS27" s="99">
        <v>1010</v>
      </c>
      <c r="FT27" s="14" t="s">
        <v>2106</v>
      </c>
      <c r="FU27" s="14">
        <f>1227.41-FU22</f>
        <v>33.550000000000182</v>
      </c>
      <c r="FV27" s="152" t="s">
        <v>2185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2048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1823</v>
      </c>
      <c r="GI27" s="14">
        <v>20</v>
      </c>
      <c r="GJ27" s="54" t="s">
        <v>2104</v>
      </c>
      <c r="GK27" s="99">
        <v>4000</v>
      </c>
      <c r="GL27" s="54"/>
      <c r="GM27" s="69"/>
      <c r="GN27" s="169" t="s">
        <v>2359</v>
      </c>
      <c r="GO27" s="14">
        <f>20+40+10+10</f>
        <v>80</v>
      </c>
      <c r="GP27" s="54" t="s">
        <v>1995</v>
      </c>
      <c r="GQ27" s="99">
        <v>4000</v>
      </c>
      <c r="GT27" s="152" t="s">
        <v>2360</v>
      </c>
      <c r="GU27" s="14">
        <f>15.74+43.21</f>
        <v>58.95</v>
      </c>
      <c r="GV27" s="66" t="s">
        <v>1701</v>
      </c>
      <c r="GW27" s="99">
        <v>300</v>
      </c>
      <c r="GZ27" s="152" t="s">
        <v>2361</v>
      </c>
      <c r="HA27" s="14">
        <v>20</v>
      </c>
      <c r="HB27" s="54" t="s">
        <v>1995</v>
      </c>
      <c r="HC27" s="99">
        <v>4000</v>
      </c>
      <c r="HD27" s="74"/>
      <c r="HE27" s="69"/>
      <c r="HF27" s="169" t="s">
        <v>1885</v>
      </c>
      <c r="HG27" s="14">
        <f>12.57+14.64+15.52+10+15.22+15.49+15.3</f>
        <v>98.74</v>
      </c>
      <c r="HH27" s="74" t="s">
        <v>2362</v>
      </c>
      <c r="HI27" s="106">
        <v>74.900000000000006</v>
      </c>
      <c r="HJ27" s="160" t="s">
        <v>2307</v>
      </c>
      <c r="HK27" s="14">
        <v>0</v>
      </c>
      <c r="HL27" s="177" t="s">
        <v>2363</v>
      </c>
      <c r="HM27" s="202">
        <f>HI16+HK31-HO18</f>
        <v>240</v>
      </c>
      <c r="HN27" s="187" t="s">
        <v>2364</v>
      </c>
      <c r="HO27" s="102">
        <v>21</v>
      </c>
      <c r="HP27" s="168" t="s">
        <v>1200</v>
      </c>
      <c r="HQ27" s="107">
        <f>SUM(HS6:HS6)</f>
        <v>1900.09</v>
      </c>
      <c r="HR27" s="152" t="s">
        <v>2365</v>
      </c>
      <c r="HS27" s="14">
        <v>10</v>
      </c>
      <c r="HT27" s="70" t="s">
        <v>1879</v>
      </c>
      <c r="HU27" s="14">
        <v>1000</v>
      </c>
      <c r="HV27" s="169" t="s">
        <v>2366</v>
      </c>
      <c r="HW27" s="197">
        <f>SUM(HY16:HY24)</f>
        <v>1033.9166666666667</v>
      </c>
      <c r="HX27" s="152" t="s">
        <v>2367</v>
      </c>
      <c r="HY27" s="14">
        <f>32.37+27.07</f>
        <v>59.44</v>
      </c>
      <c r="HZ27" s="70" t="s">
        <v>2368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2369</v>
      </c>
      <c r="IE27" s="14">
        <v>30</v>
      </c>
      <c r="IF27" s="74" t="s">
        <v>2370</v>
      </c>
      <c r="IG27" s="102">
        <v>127</v>
      </c>
      <c r="IH27" s="198" t="s">
        <v>2371</v>
      </c>
      <c r="II27" s="211">
        <v>19.45</v>
      </c>
      <c r="IJ27" s="152" t="s">
        <v>2372</v>
      </c>
      <c r="IK27" s="14">
        <v>6.8</v>
      </c>
      <c r="IL27" s="74" t="s">
        <v>2373</v>
      </c>
      <c r="IM27" s="14">
        <v>41</v>
      </c>
      <c r="IN27" s="198"/>
      <c r="IO27" s="211"/>
      <c r="IP27" s="152" t="s">
        <v>2374</v>
      </c>
      <c r="IQ27" s="48">
        <v>23.42</v>
      </c>
      <c r="IR27" s="74" t="s">
        <v>2375</v>
      </c>
      <c r="IS27" s="48">
        <v>260</v>
      </c>
      <c r="IT27" s="169" t="s">
        <v>2366</v>
      </c>
      <c r="IU27" s="173">
        <f>SUM(IW15:IW20)</f>
        <v>1471.3133333333333</v>
      </c>
      <c r="IV27" s="49" t="s">
        <v>2259</v>
      </c>
      <c r="IW27" s="51">
        <f>70+106+167+164+22.7</f>
        <v>529.70000000000005</v>
      </c>
      <c r="IX27" s="74"/>
      <c r="IZ27" s="198"/>
      <c r="JB27" s="152" t="s">
        <v>2376</v>
      </c>
      <c r="JC27" s="48">
        <v>7</v>
      </c>
      <c r="JD27" s="70"/>
      <c r="JF27" s="52" t="s">
        <v>2377</v>
      </c>
      <c r="JG27" s="52"/>
      <c r="JH27" s="152" t="s">
        <v>2378</v>
      </c>
      <c r="JI27" s="48">
        <f>55.72+65.82</f>
        <v>121.53999999999999</v>
      </c>
      <c r="JJ27" s="74" t="s">
        <v>2379</v>
      </c>
      <c r="JK27" s="14">
        <v>59.4</v>
      </c>
      <c r="JL27" s="76" t="s">
        <v>1200</v>
      </c>
      <c r="JM27" s="96">
        <f>SUM(JO6:JO7)</f>
        <v>2900.12</v>
      </c>
      <c r="JN27" s="152" t="s">
        <v>2380</v>
      </c>
      <c r="JO27" s="106">
        <v>131</v>
      </c>
      <c r="JP27" s="74" t="s">
        <v>2218</v>
      </c>
      <c r="JQ27" s="50"/>
      <c r="JR27" s="159" t="s">
        <v>1237</v>
      </c>
      <c r="JS27" s="50">
        <f>SUM(JU8:JU8)</f>
        <v>1476</v>
      </c>
      <c r="JT27" s="152" t="s">
        <v>2381</v>
      </c>
      <c r="JU27" s="106">
        <v>11</v>
      </c>
      <c r="JV27" s="74"/>
      <c r="JW27" s="48"/>
      <c r="JZ27" s="169" t="s">
        <v>1896</v>
      </c>
      <c r="KA27" s="48">
        <v>30</v>
      </c>
      <c r="KB27" s="74"/>
      <c r="KC27" s="74"/>
      <c r="KF27" s="49" t="s">
        <v>2382</v>
      </c>
      <c r="KG27" s="51">
        <f>341+171</f>
        <v>512</v>
      </c>
      <c r="KH27" s="54" t="s">
        <v>1966</v>
      </c>
      <c r="KI27" s="50">
        <v>130</v>
      </c>
      <c r="KK27" s="54"/>
      <c r="KL27" s="152" t="s">
        <v>2383</v>
      </c>
      <c r="KM27" s="48">
        <v>30</v>
      </c>
      <c r="KN27" s="68" t="s">
        <v>2132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2070</v>
      </c>
      <c r="KU27" s="50">
        <v>1000</v>
      </c>
      <c r="KV27" s="66"/>
      <c r="KX27" s="72" t="s">
        <v>1474</v>
      </c>
      <c r="KY27" s="48">
        <v>62.98</v>
      </c>
      <c r="KZ27" s="14" t="s">
        <v>2384</v>
      </c>
      <c r="LA27" s="14">
        <f>240-15.97</f>
        <v>224.03</v>
      </c>
      <c r="LD27" s="72" t="s">
        <v>2385</v>
      </c>
      <c r="LE27" s="48">
        <v>250</v>
      </c>
      <c r="LF27" s="70" t="s">
        <v>2386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2387</v>
      </c>
      <c r="LS27" s="50">
        <v>5000</v>
      </c>
      <c r="LT27" s="320"/>
      <c r="LU27" s="320"/>
      <c r="LV27" s="152" t="s">
        <v>2388</v>
      </c>
      <c r="LW27" s="48">
        <f>45.2+27.6+39.4</f>
        <v>112.20000000000002</v>
      </c>
      <c r="LX27" s="74" t="s">
        <v>2218</v>
      </c>
      <c r="LY27" s="48"/>
      <c r="LZ27" s="320"/>
      <c r="MA27" s="320"/>
      <c r="MB27" s="72" t="s">
        <v>2389</v>
      </c>
      <c r="MC27" s="62">
        <v>633.6</v>
      </c>
      <c r="MD27" s="213">
        <v>2292</v>
      </c>
      <c r="ME27" s="50" t="s">
        <v>2390</v>
      </c>
      <c r="MF27" s="329"/>
      <c r="MG27" s="328"/>
      <c r="MH27" s="326" t="s">
        <v>2391</v>
      </c>
      <c r="MI27" s="48">
        <f>44+33.8</f>
        <v>77.8</v>
      </c>
      <c r="MJ27" s="68" t="s">
        <v>2132</v>
      </c>
      <c r="MK27" s="50">
        <v>10</v>
      </c>
      <c r="ML27" s="329"/>
      <c r="MM27" s="328"/>
      <c r="MN27" s="326" t="s">
        <v>2392</v>
      </c>
      <c r="MO27" s="48">
        <v>48.8</v>
      </c>
      <c r="MP27" s="68" t="s">
        <v>3421</v>
      </c>
      <c r="MQ27" s="50">
        <v>10</v>
      </c>
      <c r="MR27" s="49"/>
      <c r="MT27" s="604" t="s">
        <v>3487</v>
      </c>
      <c r="MU27" s="48">
        <v>29.6</v>
      </c>
      <c r="MV27" s="601" t="s">
        <v>3421</v>
      </c>
      <c r="MW27" s="50">
        <v>10</v>
      </c>
      <c r="MX27" s="320"/>
      <c r="MY27" s="320"/>
      <c r="MZ27" s="652" t="s">
        <v>3501</v>
      </c>
      <c r="NA27" s="48">
        <v>56.5</v>
      </c>
      <c r="NB27" s="645" t="s">
        <v>2176</v>
      </c>
      <c r="NC27" s="50">
        <v>70</v>
      </c>
      <c r="ND27" s="320"/>
      <c r="NE27" s="328"/>
      <c r="NF27" s="652" t="s">
        <v>3541</v>
      </c>
      <c r="NG27" s="48"/>
      <c r="NH27" s="666" t="s">
        <v>2070</v>
      </c>
      <c r="NI27" s="50">
        <v>2000</v>
      </c>
      <c r="NJ27" s="336">
        <v>45533</v>
      </c>
      <c r="NK27" s="50"/>
    </row>
    <row r="28" spans="1:375">
      <c r="A28" s="728" t="s">
        <v>372</v>
      </c>
      <c r="B28" s="723"/>
      <c r="E28" s="567" t="s">
        <v>427</v>
      </c>
      <c r="F28" s="67"/>
      <c r="G28" s="728" t="s">
        <v>372</v>
      </c>
      <c r="H28" s="723"/>
      <c r="K28" s="72" t="s">
        <v>1986</v>
      </c>
      <c r="L28" s="14">
        <v>0</v>
      </c>
      <c r="M28" s="729" t="s">
        <v>197</v>
      </c>
      <c r="N28" s="729"/>
      <c r="Q28" s="71" t="s">
        <v>2183</v>
      </c>
      <c r="R28" s="14">
        <v>0</v>
      </c>
      <c r="S28" s="729" t="s">
        <v>197</v>
      </c>
      <c r="T28" s="729"/>
      <c r="W28" s="72" t="s">
        <v>2041</v>
      </c>
      <c r="X28" s="14">
        <v>64</v>
      </c>
      <c r="Y28" s="728" t="s">
        <v>2333</v>
      </c>
      <c r="Z28" s="723"/>
      <c r="AC28" s="21" t="s">
        <v>2393</v>
      </c>
      <c r="AD28" s="21">
        <f>63+46</f>
        <v>109</v>
      </c>
      <c r="AE28" s="729" t="s">
        <v>197</v>
      </c>
      <c r="AF28" s="729"/>
      <c r="AI28" s="14" t="s">
        <v>2394</v>
      </c>
      <c r="AJ28" s="14">
        <v>50</v>
      </c>
      <c r="AK28" s="54" t="s">
        <v>197</v>
      </c>
      <c r="AL28" s="54" t="s">
        <v>197</v>
      </c>
      <c r="AO28" s="72" t="s">
        <v>1986</v>
      </c>
      <c r="AP28" s="66">
        <v>167.6</v>
      </c>
      <c r="AQ28" s="54" t="s">
        <v>197</v>
      </c>
      <c r="AR28" s="54"/>
      <c r="AU28" s="72" t="s">
        <v>2395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2041</v>
      </c>
      <c r="BF28" s="66">
        <v>64</v>
      </c>
      <c r="BG28" s="54" t="s">
        <v>197</v>
      </c>
      <c r="BH28" s="54"/>
      <c r="BK28" s="94" t="s">
        <v>2041</v>
      </c>
      <c r="BL28" s="66" t="s">
        <v>2396</v>
      </c>
      <c r="BM28" s="54" t="s">
        <v>197</v>
      </c>
      <c r="BN28" s="54"/>
      <c r="BQ28" s="94" t="s">
        <v>2041</v>
      </c>
      <c r="BR28" s="66">
        <v>64</v>
      </c>
      <c r="BS28" s="54" t="s">
        <v>197</v>
      </c>
      <c r="BT28" s="99"/>
      <c r="BW28" s="94" t="s">
        <v>2397</v>
      </c>
      <c r="BX28" s="66">
        <v>64</v>
      </c>
      <c r="BY28" s="54" t="s">
        <v>197</v>
      </c>
      <c r="BZ28" s="61"/>
      <c r="CC28" s="94" t="s">
        <v>2041</v>
      </c>
      <c r="CD28" s="66">
        <v>32</v>
      </c>
      <c r="CE28" s="54" t="s">
        <v>197</v>
      </c>
      <c r="CF28" s="61"/>
      <c r="CI28" s="94" t="s">
        <v>2143</v>
      </c>
      <c r="CJ28" s="66">
        <v>64</v>
      </c>
      <c r="CK28" s="54" t="s">
        <v>197</v>
      </c>
      <c r="CL28" s="61"/>
      <c r="CO28" s="108" t="s">
        <v>2398</v>
      </c>
      <c r="CP28" s="49">
        <f>28+34</f>
        <v>62</v>
      </c>
      <c r="CQ28" s="54" t="s">
        <v>197</v>
      </c>
      <c r="CR28" s="61"/>
      <c r="CU28" s="108" t="s">
        <v>2399</v>
      </c>
      <c r="CV28" s="49">
        <v>26.7</v>
      </c>
      <c r="CX28" s="61"/>
      <c r="DA28" s="123" t="s">
        <v>2400</v>
      </c>
      <c r="DB28" s="66">
        <v>178.21</v>
      </c>
      <c r="DC28" s="116"/>
      <c r="DD28" s="117"/>
      <c r="DE28" s="66" t="s">
        <v>2401</v>
      </c>
      <c r="DF28" s="49">
        <f>51*2/3</f>
        <v>34</v>
      </c>
      <c r="DG28" s="121" t="s">
        <v>2402</v>
      </c>
      <c r="DH28" s="62">
        <v>185.01</v>
      </c>
      <c r="DI28" s="21" t="s">
        <v>2403</v>
      </c>
      <c r="DJ28" s="97">
        <v>10000</v>
      </c>
      <c r="DM28" s="93" t="s">
        <v>2098</v>
      </c>
      <c r="DN28" s="62">
        <f>11+53.24</f>
        <v>64.240000000000009</v>
      </c>
      <c r="DO28" s="21" t="s">
        <v>2350</v>
      </c>
      <c r="DP28" s="22" t="s">
        <v>646</v>
      </c>
      <c r="DS28" s="123" t="s">
        <v>2404</v>
      </c>
      <c r="DT28" s="62">
        <v>10</v>
      </c>
      <c r="DU28" s="21" t="s">
        <v>2350</v>
      </c>
      <c r="DV28" s="22" t="s">
        <v>646</v>
      </c>
      <c r="DY28" s="21" t="s">
        <v>2405</v>
      </c>
      <c r="DZ28" s="21"/>
      <c r="EA28" s="65"/>
      <c r="EB28" s="134"/>
      <c r="EE28" s="21" t="s">
        <v>2406</v>
      </c>
      <c r="EF28" s="21"/>
      <c r="EG28" s="165"/>
      <c r="EL28" s="725" t="s">
        <v>2149</v>
      </c>
      <c r="EM28" s="725"/>
      <c r="EN28" s="74"/>
      <c r="EO28" s="96"/>
      <c r="ER28" s="21" t="s">
        <v>2407</v>
      </c>
      <c r="ES28" s="21"/>
      <c r="ET28" s="54" t="s">
        <v>2408</v>
      </c>
      <c r="EU28" s="99">
        <v>10000</v>
      </c>
      <c r="EX28" s="157" t="s">
        <v>2409</v>
      </c>
      <c r="EY28" s="157"/>
      <c r="EZ28" s="54" t="s">
        <v>1805</v>
      </c>
      <c r="FA28" s="99">
        <v>2010</v>
      </c>
      <c r="FD28" s="170">
        <v>300</v>
      </c>
      <c r="FE28" s="171">
        <f>FA9+FD28-FG9</f>
        <v>280</v>
      </c>
      <c r="FF28" s="54" t="s">
        <v>1805</v>
      </c>
      <c r="FG28" s="99">
        <v>6010</v>
      </c>
      <c r="FJ28" s="152" t="s">
        <v>2410</v>
      </c>
      <c r="FK28" s="14">
        <v>8</v>
      </c>
      <c r="FL28" s="54" t="s">
        <v>1753</v>
      </c>
      <c r="FM28" s="99">
        <v>0</v>
      </c>
      <c r="FP28" s="152" t="s">
        <v>2411</v>
      </c>
      <c r="FQ28" s="14">
        <v>86.2</v>
      </c>
      <c r="FR28" s="54" t="s">
        <v>1805</v>
      </c>
      <c r="FS28" s="99">
        <v>6010</v>
      </c>
      <c r="FT28" s="14" t="s">
        <v>2412</v>
      </c>
      <c r="FU28" s="14">
        <f>5984.25-6010</f>
        <v>-25.75</v>
      </c>
      <c r="FV28" s="152" t="s">
        <v>2321</v>
      </c>
      <c r="FW28" s="14">
        <v>41.2</v>
      </c>
      <c r="FX28" s="54" t="s">
        <v>2004</v>
      </c>
      <c r="FY28" s="99">
        <v>1010</v>
      </c>
      <c r="GB28" s="152" t="s">
        <v>2413</v>
      </c>
      <c r="GC28" s="14">
        <v>8</v>
      </c>
      <c r="GD28" s="54" t="s">
        <v>2004</v>
      </c>
      <c r="GE28" s="99">
        <v>808</v>
      </c>
      <c r="GH28" s="169" t="s">
        <v>1885</v>
      </c>
      <c r="GI28" s="14">
        <f>11.48+13.49+12.33+10+12.88+6.22+14.16</f>
        <v>80.56</v>
      </c>
      <c r="GJ28" s="54" t="s">
        <v>2004</v>
      </c>
      <c r="GK28" s="99">
        <v>2002</v>
      </c>
      <c r="GN28" s="169" t="s">
        <v>1885</v>
      </c>
      <c r="GO28" s="14">
        <f>8.9+15.69+15.34+15.72</f>
        <v>55.65</v>
      </c>
      <c r="GP28" s="54" t="s">
        <v>2004</v>
      </c>
      <c r="GQ28" s="99" t="s">
        <v>1812</v>
      </c>
      <c r="GT28" s="152" t="s">
        <v>2414</v>
      </c>
      <c r="GU28" s="14">
        <v>5.4</v>
      </c>
      <c r="GV28" s="54" t="s">
        <v>2415</v>
      </c>
      <c r="GW28" s="99">
        <v>0</v>
      </c>
      <c r="GZ28" s="152" t="s">
        <v>2416</v>
      </c>
      <c r="HA28" s="14">
        <v>505.66</v>
      </c>
      <c r="HB28" s="66" t="s">
        <v>1701</v>
      </c>
      <c r="HC28" s="99">
        <v>300</v>
      </c>
      <c r="HF28" s="152" t="s">
        <v>2417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2366</v>
      </c>
      <c r="HK28" s="186">
        <f>SUM(HM10:HM18)</f>
        <v>1046.8376666666666</v>
      </c>
      <c r="HL28" s="203">
        <v>60</v>
      </c>
      <c r="HM28" s="155" t="s">
        <v>2418</v>
      </c>
      <c r="HN28" s="74" t="s">
        <v>2419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2420</v>
      </c>
      <c r="HS28" s="14">
        <v>14</v>
      </c>
      <c r="HT28" s="54" t="s">
        <v>1461</v>
      </c>
      <c r="HU28" s="99">
        <v>3000</v>
      </c>
      <c r="HV28" s="47" t="s">
        <v>2421</v>
      </c>
      <c r="HW28" s="14">
        <f>SUM(HY47:HY54)</f>
        <v>1548.6</v>
      </c>
      <c r="HX28" s="152" t="s">
        <v>2422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2423</v>
      </c>
      <c r="IE28" s="14">
        <v>329.76</v>
      </c>
      <c r="IF28" s="74" t="s">
        <v>2424</v>
      </c>
      <c r="IG28" s="102">
        <v>111</v>
      </c>
      <c r="IH28" s="198" t="s">
        <v>2425</v>
      </c>
      <c r="II28" s="211">
        <v>19.45</v>
      </c>
      <c r="IJ28" s="152" t="s">
        <v>2426</v>
      </c>
      <c r="IK28" s="14">
        <f>3.8*2+9.9</f>
        <v>17.5</v>
      </c>
      <c r="IL28" s="74" t="s">
        <v>2218</v>
      </c>
      <c r="IN28" s="198"/>
      <c r="IO28" s="211"/>
      <c r="IP28" s="152" t="s">
        <v>2427</v>
      </c>
      <c r="IQ28" s="48">
        <v>61.71</v>
      </c>
      <c r="IR28" s="74" t="s">
        <v>2218</v>
      </c>
      <c r="IT28" s="152" t="s">
        <v>2428</v>
      </c>
      <c r="IU28" s="173">
        <f>SUM(IW21:IW25)</f>
        <v>268.39</v>
      </c>
      <c r="IV28" s="201">
        <v>22.7</v>
      </c>
      <c r="IW28" s="51"/>
      <c r="IX28" s="74"/>
      <c r="IZ28" s="715" t="s">
        <v>2117</v>
      </c>
      <c r="JA28" s="715"/>
      <c r="JB28" s="152" t="s">
        <v>2429</v>
      </c>
      <c r="JC28" s="48">
        <v>34</v>
      </c>
      <c r="JF28" s="76" t="s">
        <v>1200</v>
      </c>
      <c r="JG28" s="96">
        <f>SUM(JI6:JI7)</f>
        <v>3900.1</v>
      </c>
      <c r="JH28" s="152" t="s">
        <v>2430</v>
      </c>
      <c r="JI28" s="48">
        <f>44.8+43.4</f>
        <v>88.199999999999989</v>
      </c>
      <c r="JJ28" s="74" t="s">
        <v>2431</v>
      </c>
      <c r="JK28" s="14">
        <v>75.599999999999994</v>
      </c>
      <c r="JL28" s="176" t="s">
        <v>2432</v>
      </c>
      <c r="JM28" s="96">
        <f>SUM(JO11:JO13)</f>
        <v>116477.65199999999</v>
      </c>
      <c r="JN28" s="14" t="s">
        <v>2433</v>
      </c>
      <c r="JO28" s="62">
        <v>20</v>
      </c>
      <c r="JP28" s="74"/>
      <c r="JQ28" s="50"/>
      <c r="JR28" s="162" t="s">
        <v>2307</v>
      </c>
      <c r="JS28" s="50">
        <f>SUM(JU9:JU10)</f>
        <v>15.379999999999999</v>
      </c>
      <c r="JT28" s="14" t="s">
        <v>2433</v>
      </c>
      <c r="JU28" s="62">
        <f>13</f>
        <v>13</v>
      </c>
      <c r="JV28" s="74"/>
      <c r="JW28" s="48"/>
      <c r="JZ28" s="169" t="s">
        <v>2434</v>
      </c>
      <c r="KA28" s="51">
        <f>131.87*2</f>
        <v>263.74</v>
      </c>
      <c r="KB28" s="74"/>
      <c r="KC28" s="74"/>
      <c r="KD28" s="52" t="s">
        <v>2221</v>
      </c>
      <c r="KE28" s="52"/>
      <c r="KF28" s="201">
        <v>34.15</v>
      </c>
      <c r="KG28" s="51"/>
      <c r="KH28" s="54" t="s">
        <v>2020</v>
      </c>
      <c r="KI28" s="50"/>
      <c r="KL28" s="152" t="s">
        <v>2435</v>
      </c>
      <c r="KM28" s="48">
        <v>30.06</v>
      </c>
      <c r="KN28" s="54" t="s">
        <v>2436</v>
      </c>
      <c r="KO28" s="50">
        <v>110</v>
      </c>
      <c r="KP28" s="49"/>
      <c r="KQ28" s="254"/>
      <c r="KR28" s="152" t="s">
        <v>2437</v>
      </c>
      <c r="KS28" s="48">
        <v>60</v>
      </c>
      <c r="KT28" s="74" t="s">
        <v>2123</v>
      </c>
      <c r="KU28" s="48"/>
      <c r="KV28" s="66"/>
      <c r="KX28" s="72" t="s">
        <v>2080</v>
      </c>
      <c r="KY28" s="48">
        <v>30</v>
      </c>
      <c r="KZ28" s="74" t="s">
        <v>2276</v>
      </c>
      <c r="LA28" s="48"/>
      <c r="LD28" s="72" t="s">
        <v>2438</v>
      </c>
      <c r="LE28" s="51">
        <v>151.85</v>
      </c>
      <c r="LF28" s="74" t="s">
        <v>2218</v>
      </c>
      <c r="LG28" s="48"/>
      <c r="LJ28" s="152" t="s">
        <v>2439</v>
      </c>
      <c r="LK28" s="48">
        <v>20</v>
      </c>
      <c r="LL28" s="70" t="s">
        <v>2276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2440</v>
      </c>
      <c r="LW28" s="48">
        <f>44.84+35.2</f>
        <v>80.040000000000006</v>
      </c>
      <c r="LX28" s="70"/>
      <c r="LY28" s="50"/>
      <c r="LZ28" s="320"/>
      <c r="MA28" s="320"/>
      <c r="MB28" s="72" t="s">
        <v>2441</v>
      </c>
      <c r="MC28" s="62">
        <v>10</v>
      </c>
      <c r="MD28" s="213">
        <v>0</v>
      </c>
      <c r="ME28" s="50" t="s">
        <v>2442</v>
      </c>
      <c r="MF28" s="329"/>
      <c r="MG28" s="328"/>
      <c r="MH28" s="326" t="s">
        <v>2443</v>
      </c>
      <c r="MI28" s="48">
        <v>8.9</v>
      </c>
      <c r="MJ28" s="335" t="s">
        <v>2176</v>
      </c>
      <c r="MK28" s="50">
        <v>90</v>
      </c>
      <c r="ML28" s="329"/>
      <c r="MM28" s="328"/>
      <c r="MN28" s="326" t="s">
        <v>2444</v>
      </c>
      <c r="MO28" s="337">
        <v>27</v>
      </c>
      <c r="MP28" s="54" t="s">
        <v>2176</v>
      </c>
      <c r="MQ28" s="50">
        <v>150</v>
      </c>
      <c r="MR28" s="596"/>
      <c r="MS28" s="596"/>
      <c r="MT28" s="604" t="s">
        <v>3460</v>
      </c>
      <c r="MU28" s="48">
        <v>27.5</v>
      </c>
      <c r="MV28" s="599" t="s">
        <v>2176</v>
      </c>
      <c r="MW28" s="50">
        <v>140</v>
      </c>
      <c r="MX28" s="640" t="s">
        <v>2221</v>
      </c>
      <c r="MY28" s="312"/>
      <c r="MZ28" s="652" t="s">
        <v>2034</v>
      </c>
      <c r="NA28" s="62">
        <f>78.3+25.4</f>
        <v>103.69999999999999</v>
      </c>
      <c r="NB28" s="651" t="s">
        <v>3499</v>
      </c>
      <c r="NC28" s="50">
        <v>1000</v>
      </c>
      <c r="ND28" s="320"/>
      <c r="NE28" s="328"/>
      <c r="NF28" s="652" t="s">
        <v>3541</v>
      </c>
      <c r="NG28" s="48"/>
      <c r="NH28" s="338">
        <v>7940</v>
      </c>
      <c r="NI28" s="285" t="s">
        <v>3467</v>
      </c>
      <c r="NJ28" s="336">
        <v>45533</v>
      </c>
    </row>
    <row r="29" spans="1:375">
      <c r="A29" s="728" t="s">
        <v>2333</v>
      </c>
      <c r="B29" s="723"/>
      <c r="E29" s="567" t="s">
        <v>431</v>
      </c>
      <c r="F29" s="67"/>
      <c r="G29" s="728" t="s">
        <v>2333</v>
      </c>
      <c r="H29" s="723"/>
      <c r="K29" s="72" t="s">
        <v>2041</v>
      </c>
      <c r="L29" s="14">
        <v>64</v>
      </c>
      <c r="M29" s="723" t="s">
        <v>300</v>
      </c>
      <c r="N29" s="723"/>
      <c r="S29" s="723" t="s">
        <v>300</v>
      </c>
      <c r="T29" s="723"/>
      <c r="W29" s="72" t="s">
        <v>2092</v>
      </c>
      <c r="X29" s="14">
        <v>100.01</v>
      </c>
      <c r="Y29" s="729" t="s">
        <v>197</v>
      </c>
      <c r="Z29" s="729"/>
      <c r="AC29" s="14" t="s">
        <v>2445</v>
      </c>
      <c r="AD29" s="14">
        <v>65</v>
      </c>
      <c r="AE29" s="723" t="s">
        <v>300</v>
      </c>
      <c r="AF29" s="723"/>
      <c r="AK29" s="14" t="s">
        <v>300</v>
      </c>
      <c r="AL29" s="14" t="s">
        <v>300</v>
      </c>
      <c r="AO29" s="72" t="s">
        <v>2339</v>
      </c>
      <c r="AP29" s="66">
        <f>11*2</f>
        <v>22</v>
      </c>
      <c r="AQ29" s="14" t="s">
        <v>300</v>
      </c>
      <c r="AR29" s="14"/>
      <c r="AU29" s="72" t="s">
        <v>2339</v>
      </c>
      <c r="AV29" s="66">
        <v>11</v>
      </c>
      <c r="AW29" s="14" t="s">
        <v>2446</v>
      </c>
      <c r="AX29" s="14"/>
      <c r="AY29" s="72"/>
      <c r="AZ29" s="66"/>
      <c r="BA29" s="14" t="s">
        <v>2446</v>
      </c>
      <c r="BB29" s="14"/>
      <c r="BE29" s="72" t="s">
        <v>2092</v>
      </c>
      <c r="BF29" s="66">
        <v>50</v>
      </c>
      <c r="BG29" s="14" t="s">
        <v>2446</v>
      </c>
      <c r="BH29" s="14"/>
      <c r="BK29" s="94" t="s">
        <v>2092</v>
      </c>
      <c r="BL29" s="66">
        <v>10</v>
      </c>
      <c r="BM29" s="14" t="s">
        <v>2446</v>
      </c>
      <c r="BN29" s="14"/>
      <c r="BQ29" s="94" t="s">
        <v>2092</v>
      </c>
      <c r="BR29" s="66">
        <v>20</v>
      </c>
      <c r="BS29" s="14" t="s">
        <v>2446</v>
      </c>
      <c r="BW29" s="94" t="s">
        <v>2092</v>
      </c>
      <c r="BX29" s="66">
        <v>50</v>
      </c>
      <c r="BY29" s="14" t="s">
        <v>2446</v>
      </c>
      <c r="CC29" s="94" t="s">
        <v>2092</v>
      </c>
      <c r="CD29" s="66">
        <v>70.001000000000005</v>
      </c>
      <c r="CE29" s="14" t="s">
        <v>2446</v>
      </c>
      <c r="CI29" s="94" t="s">
        <v>2092</v>
      </c>
      <c r="CJ29" s="66">
        <v>100.001</v>
      </c>
      <c r="CK29" s="14" t="s">
        <v>2446</v>
      </c>
      <c r="CO29" s="108" t="s">
        <v>2447</v>
      </c>
      <c r="CP29" s="49">
        <v>35</v>
      </c>
      <c r="CQ29" s="14" t="s">
        <v>2446</v>
      </c>
      <c r="CU29" s="108" t="s">
        <v>2448</v>
      </c>
      <c r="CV29" s="49">
        <f>6*4+5*2+5</f>
        <v>39</v>
      </c>
      <c r="CW29" s="564" t="s">
        <v>372</v>
      </c>
      <c r="DA29" s="123" t="s">
        <v>2449</v>
      </c>
      <c r="DB29" s="66">
        <v>300</v>
      </c>
      <c r="DD29" s="61"/>
      <c r="DG29" s="93" t="s">
        <v>1698</v>
      </c>
      <c r="DH29" s="62">
        <v>85.71</v>
      </c>
      <c r="DI29" s="21" t="s">
        <v>2450</v>
      </c>
      <c r="DJ29" s="97" t="s">
        <v>1812</v>
      </c>
      <c r="DM29" s="93" t="s">
        <v>2143</v>
      </c>
      <c r="DN29" s="62">
        <v>64</v>
      </c>
      <c r="DO29" s="65"/>
      <c r="DP29" s="134"/>
      <c r="DS29" s="123" t="s">
        <v>2451</v>
      </c>
      <c r="DT29" s="62">
        <v>10</v>
      </c>
      <c r="DU29" s="65"/>
      <c r="DV29" s="134"/>
      <c r="DY29" s="21" t="s">
        <v>2452</v>
      </c>
      <c r="DZ29" s="21"/>
      <c r="EA29" s="14" t="s">
        <v>1396</v>
      </c>
      <c r="EB29" s="50">
        <v>-20000</v>
      </c>
      <c r="EE29" s="14" t="s">
        <v>2453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2454</v>
      </c>
      <c r="ES29" s="21"/>
      <c r="ET29" s="54" t="s">
        <v>2455</v>
      </c>
      <c r="EU29" s="99">
        <v>0</v>
      </c>
      <c r="EX29" s="155" t="s">
        <v>2456</v>
      </c>
      <c r="EY29" s="157"/>
      <c r="EZ29" s="54" t="s">
        <v>1805</v>
      </c>
      <c r="FA29" s="99">
        <v>5010</v>
      </c>
      <c r="FD29" s="157" t="s">
        <v>2457</v>
      </c>
      <c r="FE29" s="157"/>
      <c r="FF29" s="54" t="s">
        <v>1805</v>
      </c>
      <c r="FG29" s="99">
        <v>10010</v>
      </c>
      <c r="FJ29" s="725" t="s">
        <v>2355</v>
      </c>
      <c r="FK29" s="725"/>
      <c r="FL29" s="54" t="s">
        <v>1810</v>
      </c>
      <c r="FM29" s="99">
        <v>10000</v>
      </c>
      <c r="FP29" s="152" t="s">
        <v>2458</v>
      </c>
      <c r="FQ29" s="14">
        <v>35.799999999999997</v>
      </c>
      <c r="FR29" s="54" t="s">
        <v>1805</v>
      </c>
      <c r="FS29" s="99">
        <v>10010</v>
      </c>
      <c r="FT29" s="14" t="s">
        <v>2459</v>
      </c>
      <c r="FU29" s="14">
        <f>4980.91-5005</f>
        <v>-24.090000000000146</v>
      </c>
      <c r="FV29" s="152" t="s">
        <v>2460</v>
      </c>
      <c r="FW29" s="14">
        <v>6.3</v>
      </c>
      <c r="FX29" s="54" t="s">
        <v>2004</v>
      </c>
      <c r="FY29" s="99">
        <v>5005</v>
      </c>
      <c r="GB29" s="152" t="s">
        <v>2461</v>
      </c>
      <c r="GC29" s="14">
        <v>127.1</v>
      </c>
      <c r="GD29" s="54" t="s">
        <v>2004</v>
      </c>
      <c r="GE29" s="99">
        <v>4004</v>
      </c>
      <c r="GF29" s="66"/>
      <c r="GH29" s="152" t="s">
        <v>2462</v>
      </c>
      <c r="GI29" s="14">
        <v>70</v>
      </c>
      <c r="GJ29" s="54" t="s">
        <v>2004</v>
      </c>
      <c r="GK29" s="99">
        <v>808</v>
      </c>
      <c r="GN29" s="152" t="s">
        <v>2463</v>
      </c>
      <c r="GO29" s="14">
        <v>20</v>
      </c>
      <c r="GP29" s="54" t="s">
        <v>2004</v>
      </c>
      <c r="GQ29" s="99" t="s">
        <v>1812</v>
      </c>
      <c r="GT29" s="152" t="s">
        <v>2464</v>
      </c>
      <c r="GU29" s="14">
        <v>10</v>
      </c>
      <c r="GV29" s="82" t="s">
        <v>2298</v>
      </c>
      <c r="GW29" s="102"/>
      <c r="GZ29" s="152" t="s">
        <v>2465</v>
      </c>
      <c r="HA29" s="14">
        <f>80+105</f>
        <v>185</v>
      </c>
      <c r="HB29" s="54" t="s">
        <v>2415</v>
      </c>
      <c r="HC29" s="99">
        <v>0</v>
      </c>
      <c r="HD29" s="54"/>
      <c r="HF29" s="152" t="s">
        <v>2466</v>
      </c>
      <c r="HG29" s="14">
        <f>74.8-6.1</f>
        <v>68.7</v>
      </c>
      <c r="HH29" s="14" t="s">
        <v>1761</v>
      </c>
      <c r="HI29" s="195">
        <v>-114.61</v>
      </c>
      <c r="HJ29" s="161" t="s">
        <v>2428</v>
      </c>
      <c r="HK29" s="14">
        <f>SUM(HM19:HM23)</f>
        <v>275.58</v>
      </c>
      <c r="HL29" s="203">
        <v>20</v>
      </c>
      <c r="HM29" s="155" t="s">
        <v>2467</v>
      </c>
      <c r="HN29" s="187"/>
      <c r="HO29" s="102"/>
      <c r="HP29" s="174" t="s">
        <v>1237</v>
      </c>
      <c r="HQ29" s="14">
        <v>0</v>
      </c>
      <c r="HR29" s="152" t="s">
        <v>2465</v>
      </c>
      <c r="HS29" s="14">
        <v>80</v>
      </c>
      <c r="HT29" s="54" t="s">
        <v>1515</v>
      </c>
      <c r="HU29" s="99">
        <v>4000</v>
      </c>
      <c r="HV29" s="152" t="s">
        <v>2428</v>
      </c>
      <c r="HW29" s="14">
        <f>SUM(HY25:HY30)</f>
        <v>271.94</v>
      </c>
      <c r="HX29" s="152" t="s">
        <v>2468</v>
      </c>
      <c r="HY29" s="14">
        <f>22.3+42.9</f>
        <v>65.2</v>
      </c>
      <c r="HZ29" s="82" t="s">
        <v>2261</v>
      </c>
      <c r="IB29" s="162" t="s">
        <v>2307</v>
      </c>
      <c r="IC29" s="14">
        <f>SUM(IE9:IE9)</f>
        <v>32.1</v>
      </c>
      <c r="ID29" s="152" t="s">
        <v>2469</v>
      </c>
      <c r="IE29" s="14">
        <v>80</v>
      </c>
      <c r="IF29" s="74" t="s">
        <v>2312</v>
      </c>
      <c r="IG29" s="102"/>
      <c r="IH29" s="193" t="s">
        <v>2470</v>
      </c>
      <c r="II29" s="211">
        <f>19.45*3</f>
        <v>58.349999999999994</v>
      </c>
      <c r="IJ29" s="152" t="s">
        <v>2471</v>
      </c>
      <c r="IK29" s="14">
        <f>7.15+14.85</f>
        <v>22</v>
      </c>
      <c r="IL29" s="188" t="s">
        <v>2472</v>
      </c>
      <c r="IM29" s="233">
        <v>21.35</v>
      </c>
      <c r="IN29" s="193"/>
      <c r="IO29" s="211"/>
      <c r="IP29" s="152" t="s">
        <v>2473</v>
      </c>
      <c r="IQ29" s="48">
        <v>23.1</v>
      </c>
      <c r="IR29" s="74" t="s">
        <v>2474</v>
      </c>
      <c r="IS29" s="14" t="s">
        <v>2475</v>
      </c>
      <c r="IT29" s="152" t="s">
        <v>2476</v>
      </c>
      <c r="IU29" s="14">
        <f>SUM(IW22:IW25)</f>
        <v>188.39</v>
      </c>
      <c r="IV29" s="177" t="s">
        <v>2477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2478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2479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2259</v>
      </c>
      <c r="JO29" s="51">
        <f>250+254+164+105</f>
        <v>773</v>
      </c>
      <c r="JP29" s="74"/>
      <c r="JQ29" s="50"/>
      <c r="JR29" s="167" t="s">
        <v>2366</v>
      </c>
      <c r="JS29" s="50">
        <f>SUM(JU14:JU22)</f>
        <v>1271.7839999999999</v>
      </c>
      <c r="JT29" s="49" t="s">
        <v>2259</v>
      </c>
      <c r="JU29" s="51">
        <f>144+160+67</f>
        <v>371</v>
      </c>
      <c r="JZ29" s="169" t="s">
        <v>2480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2477</v>
      </c>
      <c r="KG29" s="202">
        <f>KC19+KE36-KI27</f>
        <v>190</v>
      </c>
      <c r="KH29" s="70" t="s">
        <v>2070</v>
      </c>
      <c r="KI29" s="50">
        <v>1000</v>
      </c>
      <c r="KL29" s="152" t="s">
        <v>2481</v>
      </c>
      <c r="KM29" s="48">
        <v>21.5</v>
      </c>
      <c r="KN29" s="70" t="s">
        <v>2070</v>
      </c>
      <c r="KO29" s="50">
        <v>1000</v>
      </c>
      <c r="KP29" s="287"/>
      <c r="KQ29" s="287"/>
      <c r="KR29" s="152" t="s">
        <v>2482</v>
      </c>
      <c r="KS29" s="48">
        <v>400.92</v>
      </c>
      <c r="KT29" s="70" t="s">
        <v>2483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2123</v>
      </c>
      <c r="LA29" s="48"/>
      <c r="LD29" s="72" t="s">
        <v>1547</v>
      </c>
      <c r="LE29" s="48">
        <f>8.6+15+6.5</f>
        <v>30.1</v>
      </c>
      <c r="LF29" s="70" t="s">
        <v>2484</v>
      </c>
      <c r="LG29" s="50">
        <f>52.8*2</f>
        <v>105.6</v>
      </c>
      <c r="LH29" s="52" t="s">
        <v>2221</v>
      </c>
      <c r="LI29" s="52"/>
      <c r="LJ29" s="152" t="s">
        <v>2280</v>
      </c>
      <c r="LK29" s="48">
        <v>5</v>
      </c>
      <c r="LL29" s="70"/>
      <c r="LM29" s="48"/>
      <c r="LP29" s="152" t="s">
        <v>2485</v>
      </c>
      <c r="LQ29" s="48">
        <v>20</v>
      </c>
      <c r="LR29" s="70" t="s">
        <v>2276</v>
      </c>
      <c r="LS29" s="50"/>
      <c r="LT29" s="66"/>
      <c r="LV29" s="152" t="s">
        <v>2486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2218</v>
      </c>
      <c r="ME29" s="48"/>
      <c r="MF29" s="329"/>
      <c r="MG29" s="328"/>
      <c r="MH29" s="326" t="s">
        <v>2487</v>
      </c>
      <c r="MI29" s="48">
        <v>21.2</v>
      </c>
      <c r="MJ29" s="70" t="s">
        <v>2070</v>
      </c>
      <c r="MK29" s="50">
        <v>1000</v>
      </c>
      <c r="ML29" s="329"/>
      <c r="MM29" s="328"/>
      <c r="MN29" s="326" t="s">
        <v>3404</v>
      </c>
      <c r="MO29" s="48">
        <f>12.97+9</f>
        <v>21.97</v>
      </c>
      <c r="MP29" s="70" t="s">
        <v>2070</v>
      </c>
      <c r="MQ29" s="50">
        <v>1000</v>
      </c>
      <c r="MR29" s="325"/>
      <c r="MS29" s="254"/>
      <c r="MT29" s="604" t="s">
        <v>2299</v>
      </c>
      <c r="MU29" s="48">
        <v>62.4</v>
      </c>
      <c r="MV29" s="602" t="s">
        <v>2070</v>
      </c>
      <c r="MW29" s="50">
        <v>1265</v>
      </c>
      <c r="MX29" s="330" t="s">
        <v>1200</v>
      </c>
      <c r="MY29" s="62">
        <f>SUM(NA6:NA6)</f>
        <v>1900.09</v>
      </c>
      <c r="MZ29" s="652" t="s">
        <v>3533</v>
      </c>
      <c r="NA29" s="62">
        <v>57.47</v>
      </c>
      <c r="NB29" s="648" t="s">
        <v>2070</v>
      </c>
      <c r="NC29" s="50">
        <v>2000</v>
      </c>
      <c r="ND29" s="329"/>
      <c r="NE29" s="328"/>
      <c r="NF29" s="652" t="s">
        <v>3541</v>
      </c>
      <c r="NG29" s="62"/>
      <c r="NH29" s="213"/>
      <c r="NI29" s="50" t="s">
        <v>2442</v>
      </c>
    </row>
    <row r="30" spans="1:375">
      <c r="A30" s="729" t="s">
        <v>197</v>
      </c>
      <c r="B30" s="729"/>
      <c r="E30" s="567" t="s">
        <v>2488</v>
      </c>
      <c r="F30" s="58"/>
      <c r="G30" s="729" t="s">
        <v>197</v>
      </c>
      <c r="H30" s="729"/>
      <c r="K30" s="72" t="s">
        <v>2092</v>
      </c>
      <c r="L30" s="14">
        <v>50.01</v>
      </c>
      <c r="M30" s="730" t="s">
        <v>2489</v>
      </c>
      <c r="N30" s="730"/>
      <c r="Q30" s="72" t="s">
        <v>1854</v>
      </c>
      <c r="R30" s="14">
        <v>26</v>
      </c>
      <c r="S30" s="730" t="s">
        <v>2489</v>
      </c>
      <c r="T30" s="730"/>
      <c r="Y30" s="723" t="s">
        <v>300</v>
      </c>
      <c r="Z30" s="723"/>
      <c r="AC30" s="14" t="s">
        <v>2490</v>
      </c>
      <c r="AD30" s="14">
        <v>10</v>
      </c>
      <c r="AE30" s="730" t="s">
        <v>2489</v>
      </c>
      <c r="AF30" s="730"/>
      <c r="AK30" s="82" t="s">
        <v>2489</v>
      </c>
      <c r="AL30" s="82" t="s">
        <v>2489</v>
      </c>
      <c r="AO30" s="72" t="s">
        <v>2041</v>
      </c>
      <c r="AP30" s="66">
        <v>32</v>
      </c>
      <c r="AQ30" s="82" t="s">
        <v>2489</v>
      </c>
      <c r="AR30" s="68"/>
      <c r="AU30" s="72" t="s">
        <v>2041</v>
      </c>
      <c r="AV30" s="66" t="s">
        <v>646</v>
      </c>
      <c r="AW30" s="82" t="s">
        <v>2489</v>
      </c>
      <c r="AX30" s="82"/>
      <c r="AY30" s="72"/>
      <c r="AZ30" s="66"/>
      <c r="BA30" s="82" t="s">
        <v>2489</v>
      </c>
      <c r="BB30" s="82"/>
      <c r="BE30" s="83" t="s">
        <v>2491</v>
      </c>
      <c r="BF30" s="14">
        <v>56.62</v>
      </c>
      <c r="BG30" s="82" t="s">
        <v>2489</v>
      </c>
      <c r="BH30" s="82"/>
      <c r="BK30" s="95" t="s">
        <v>2492</v>
      </c>
      <c r="BL30" s="49">
        <v>5</v>
      </c>
      <c r="BM30" s="82" t="s">
        <v>2489</v>
      </c>
      <c r="BN30" s="82"/>
      <c r="BQ30" s="95" t="s">
        <v>2493</v>
      </c>
      <c r="BR30" s="49">
        <v>20</v>
      </c>
      <c r="BS30" s="82" t="s">
        <v>2489</v>
      </c>
      <c r="BT30" s="101"/>
      <c r="BW30" s="95" t="s">
        <v>2493</v>
      </c>
      <c r="BX30" s="49">
        <v>15</v>
      </c>
      <c r="BY30" s="82" t="s">
        <v>2489</v>
      </c>
      <c r="BZ30" s="105"/>
      <c r="CC30" s="95" t="s">
        <v>2493</v>
      </c>
      <c r="CD30" s="49">
        <v>5</v>
      </c>
      <c r="CE30" s="82" t="s">
        <v>2489</v>
      </c>
      <c r="CF30" s="105"/>
      <c r="CI30" s="108" t="s">
        <v>2493</v>
      </c>
      <c r="CJ30" s="49">
        <f>10+5</f>
        <v>15</v>
      </c>
      <c r="CK30" s="82" t="s">
        <v>2489</v>
      </c>
      <c r="CL30" s="105"/>
      <c r="CO30" s="108" t="s">
        <v>2494</v>
      </c>
      <c r="CP30" s="49">
        <v>39</v>
      </c>
      <c r="CQ30" s="82" t="s">
        <v>2489</v>
      </c>
      <c r="CR30" s="105"/>
      <c r="CU30" s="108" t="s">
        <v>2495</v>
      </c>
      <c r="CV30" s="49">
        <v>46.9</v>
      </c>
      <c r="CW30" s="564" t="s">
        <v>2333</v>
      </c>
      <c r="CX30" s="105"/>
      <c r="DA30" s="123" t="s">
        <v>2496</v>
      </c>
      <c r="DB30" s="66">
        <v>28</v>
      </c>
      <c r="DC30" s="564" t="s">
        <v>372</v>
      </c>
      <c r="DG30" s="93" t="s">
        <v>1747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2048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2497</v>
      </c>
      <c r="DT30" s="62">
        <v>10</v>
      </c>
      <c r="DU30" s="74" t="s">
        <v>1396</v>
      </c>
      <c r="DV30" s="99">
        <v>-20000</v>
      </c>
      <c r="DY30" s="21" t="s">
        <v>2498</v>
      </c>
      <c r="DZ30" s="21"/>
      <c r="EA30" s="158" t="s">
        <v>2499</v>
      </c>
      <c r="EB30" s="138"/>
      <c r="EE30" s="14" t="s">
        <v>2500</v>
      </c>
      <c r="EF30" s="14">
        <v>201</v>
      </c>
      <c r="EG30" s="54"/>
      <c r="EH30" s="14" t="s">
        <v>2501</v>
      </c>
      <c r="EL30" s="157" t="s">
        <v>2502</v>
      </c>
      <c r="EM30" s="157"/>
      <c r="EN30" s="14" t="s">
        <v>372</v>
      </c>
      <c r="ER30" s="21" t="s">
        <v>2503</v>
      </c>
      <c r="ES30" s="21"/>
      <c r="ET30" s="82" t="s">
        <v>2298</v>
      </c>
      <c r="EU30" s="82"/>
      <c r="EX30" s="155" t="s">
        <v>2504</v>
      </c>
      <c r="EY30" s="157"/>
      <c r="EZ30" s="54" t="s">
        <v>1867</v>
      </c>
      <c r="FA30" s="99">
        <v>10000</v>
      </c>
      <c r="FD30" s="155" t="s">
        <v>2505</v>
      </c>
      <c r="FE30" s="157"/>
      <c r="FF30" s="54" t="s">
        <v>1867</v>
      </c>
      <c r="FG30" s="99">
        <v>15000</v>
      </c>
      <c r="FJ30" s="170">
        <v>200</v>
      </c>
      <c r="FK30" s="171">
        <f>FG9+FJ30-FM10</f>
        <v>340</v>
      </c>
      <c r="FL30" s="54" t="s">
        <v>1810</v>
      </c>
      <c r="FM30" s="99">
        <v>0</v>
      </c>
      <c r="FP30" s="152" t="s">
        <v>2506</v>
      </c>
      <c r="FQ30" s="14">
        <v>44.8</v>
      </c>
      <c r="FR30" s="54" t="s">
        <v>2408</v>
      </c>
      <c r="FS30" s="99">
        <v>0</v>
      </c>
      <c r="FT30" s="66" t="s">
        <v>1810</v>
      </c>
      <c r="FU30" s="14">
        <f>9952.43-10000</f>
        <v>-47.569999999999709</v>
      </c>
      <c r="FV30" s="177" t="s">
        <v>2355</v>
      </c>
      <c r="FW30" s="177"/>
      <c r="FX30" s="54" t="s">
        <v>2415</v>
      </c>
      <c r="FY30" s="99" t="s">
        <v>646</v>
      </c>
      <c r="GB30" s="152" t="s">
        <v>2507</v>
      </c>
      <c r="GC30" s="14">
        <v>18.8</v>
      </c>
      <c r="GD30" s="54" t="s">
        <v>2415</v>
      </c>
      <c r="GE30" s="99" t="s">
        <v>646</v>
      </c>
      <c r="GF30" s="54"/>
      <c r="GG30" s="69"/>
      <c r="GH30" s="152" t="s">
        <v>2508</v>
      </c>
      <c r="GI30" s="14">
        <v>16</v>
      </c>
      <c r="GJ30" s="66" t="s">
        <v>1701</v>
      </c>
      <c r="GK30" s="99">
        <v>300</v>
      </c>
      <c r="GN30" s="152" t="s">
        <v>2509</v>
      </c>
      <c r="GO30" s="14">
        <v>10</v>
      </c>
      <c r="GP30" s="66" t="s">
        <v>1701</v>
      </c>
      <c r="GQ30" s="99">
        <v>300</v>
      </c>
      <c r="GR30" s="66"/>
      <c r="GT30" s="152" t="s">
        <v>2510</v>
      </c>
      <c r="GU30" s="14">
        <v>10</v>
      </c>
      <c r="GV30" s="74" t="s">
        <v>2511</v>
      </c>
      <c r="GW30" s="102">
        <v>1159.4000000000001</v>
      </c>
      <c r="GZ30" s="152" t="s">
        <v>2205</v>
      </c>
      <c r="HA30" s="14">
        <v>8</v>
      </c>
      <c r="HB30" s="82" t="s">
        <v>2298</v>
      </c>
      <c r="HC30" s="102"/>
      <c r="HF30" s="177" t="s">
        <v>2355</v>
      </c>
      <c r="HG30" s="21"/>
      <c r="HH30" s="187" t="s">
        <v>1822</v>
      </c>
      <c r="HI30" s="193">
        <v>258.44</v>
      </c>
      <c r="HJ30" s="152" t="s">
        <v>2512</v>
      </c>
      <c r="HK30" s="14">
        <f>SUM(HM20:HM23)</f>
        <v>255.57999999999998</v>
      </c>
      <c r="HL30" s="203">
        <v>60</v>
      </c>
      <c r="HM30" s="155" t="s">
        <v>2513</v>
      </c>
      <c r="HP30" s="162" t="s">
        <v>2307</v>
      </c>
      <c r="HQ30" s="14">
        <f>SUM(HS7:HS8)</f>
        <v>1867.15</v>
      </c>
      <c r="HR30" s="14" t="s">
        <v>2212</v>
      </c>
      <c r="HS30" s="66">
        <v>37</v>
      </c>
      <c r="HT30" s="54" t="s">
        <v>1583</v>
      </c>
      <c r="HU30" s="99">
        <v>25000</v>
      </c>
      <c r="HV30" s="152" t="s">
        <v>2512</v>
      </c>
      <c r="HW30" s="14">
        <f>SUM(HY26:HY30)</f>
        <v>251.94</v>
      </c>
      <c r="HX30" s="152" t="s">
        <v>2514</v>
      </c>
      <c r="HY30" s="14">
        <v>11</v>
      </c>
      <c r="HZ30" s="70" t="s">
        <v>2264</v>
      </c>
      <c r="IA30" s="14">
        <v>4</v>
      </c>
      <c r="IB30" s="169" t="s">
        <v>2366</v>
      </c>
      <c r="IC30" s="197">
        <f>SUM(IE18:IE26)</f>
        <v>1421.2533333333333</v>
      </c>
      <c r="ID30" s="152" t="s">
        <v>2515</v>
      </c>
      <c r="IE30" s="14">
        <v>62</v>
      </c>
      <c r="IF30" s="188" t="s">
        <v>2472</v>
      </c>
      <c r="IG30" s="233">
        <v>21.35</v>
      </c>
      <c r="IH30" s="193" t="s">
        <v>2516</v>
      </c>
      <c r="II30" s="211">
        <f>19.45*25</f>
        <v>486.25</v>
      </c>
      <c r="IJ30" s="152" t="s">
        <v>2517</v>
      </c>
      <c r="IK30" s="14">
        <v>34</v>
      </c>
      <c r="IL30" s="74" t="s">
        <v>2518</v>
      </c>
      <c r="IM30" s="14">
        <v>1.49</v>
      </c>
      <c r="IN30" s="193"/>
      <c r="IO30" s="211"/>
      <c r="IP30" s="152" t="s">
        <v>2519</v>
      </c>
      <c r="IQ30" s="48" t="s">
        <v>2520</v>
      </c>
      <c r="IR30" s="74"/>
      <c r="IT30" s="155" t="s">
        <v>2521</v>
      </c>
      <c r="IU30" s="170">
        <v>90</v>
      </c>
      <c r="IV30" s="203">
        <v>5</v>
      </c>
      <c r="IW30" s="243" t="s">
        <v>2522</v>
      </c>
      <c r="IX30" s="49" t="s">
        <v>2523</v>
      </c>
      <c r="IZ30" s="77" t="s">
        <v>1246</v>
      </c>
      <c r="JA30" s="96">
        <f>SUM(JC14:JC16)</f>
        <v>4142.9809999999998</v>
      </c>
      <c r="JB30" s="250" t="s">
        <v>2524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2525</v>
      </c>
      <c r="JI30" s="106">
        <f>8.65*2</f>
        <v>17.3</v>
      </c>
      <c r="JJ30" s="74"/>
      <c r="JL30" s="162" t="s">
        <v>2307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2428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2526</v>
      </c>
      <c r="KE30" s="96">
        <f>SUM(KG8:KG8)</f>
        <v>2000</v>
      </c>
      <c r="KF30" s="203">
        <v>10</v>
      </c>
      <c r="KG30" s="282" t="s">
        <v>2527</v>
      </c>
      <c r="KH30" s="74" t="s">
        <v>2123</v>
      </c>
      <c r="KI30" s="48"/>
      <c r="KL30" s="152" t="s">
        <v>2528</v>
      </c>
      <c r="KM30" s="106">
        <v>44.55</v>
      </c>
      <c r="KN30" s="74" t="s">
        <v>2123</v>
      </c>
      <c r="KO30" s="48"/>
      <c r="KR30" s="152" t="s">
        <v>2529</v>
      </c>
      <c r="KS30" s="48">
        <f>5+0.99</f>
        <v>5.99</v>
      </c>
      <c r="KT30" s="70" t="s">
        <v>2530</v>
      </c>
      <c r="KU30" s="48"/>
      <c r="KV30" s="66"/>
      <c r="KX30" s="72" t="s">
        <v>2531</v>
      </c>
      <c r="KY30" s="48">
        <v>57.3</v>
      </c>
      <c r="KZ30" s="74" t="s">
        <v>2218</v>
      </c>
      <c r="LA30" s="48"/>
      <c r="LD30" s="72" t="s">
        <v>2532</v>
      </c>
      <c r="LE30" s="48">
        <v>67.8</v>
      </c>
      <c r="LF30" s="70" t="s">
        <v>2533</v>
      </c>
      <c r="LG30" s="50">
        <v>28.82</v>
      </c>
      <c r="LH30" s="183" t="s">
        <v>1200</v>
      </c>
      <c r="LI30" s="96">
        <f>SUM(LK6:LK7)</f>
        <v>1900.02</v>
      </c>
      <c r="LJ30" s="152" t="s">
        <v>2534</v>
      </c>
      <c r="LK30" s="48">
        <v>10.6</v>
      </c>
      <c r="LL30" s="70"/>
      <c r="LM30" s="48"/>
      <c r="LN30" s="52" t="s">
        <v>2221</v>
      </c>
      <c r="LO30" s="312"/>
      <c r="LP30" s="152" t="s">
        <v>2535</v>
      </c>
      <c r="LQ30" s="48">
        <v>387.83</v>
      </c>
      <c r="LR30" s="74" t="s">
        <v>2123</v>
      </c>
      <c r="LS30" s="48"/>
      <c r="LV30" s="152" t="s">
        <v>2536</v>
      </c>
      <c r="LW30" s="48">
        <v>46.4</v>
      </c>
      <c r="LX30" s="70"/>
      <c r="LY30" s="50"/>
      <c r="LZ30" s="66"/>
      <c r="MB30" s="72" t="s">
        <v>2537</v>
      </c>
      <c r="MC30" s="62">
        <v>10.9</v>
      </c>
      <c r="MD30" s="70" t="s">
        <v>2276</v>
      </c>
      <c r="ME30" s="50"/>
      <c r="MF30" s="329"/>
      <c r="MG30" s="328"/>
      <c r="MH30" s="326" t="s">
        <v>2538</v>
      </c>
      <c r="MI30" s="48">
        <v>12.9</v>
      </c>
      <c r="MJ30" s="213">
        <v>2382</v>
      </c>
      <c r="MK30" s="50" t="s">
        <v>2390</v>
      </c>
      <c r="ML30" s="329"/>
      <c r="MM30" s="328"/>
      <c r="MN30" s="326" t="s">
        <v>3403</v>
      </c>
      <c r="MO30" s="48">
        <v>34</v>
      </c>
      <c r="MP30" s="338">
        <v>1453</v>
      </c>
      <c r="MQ30" s="285" t="s">
        <v>1277</v>
      </c>
      <c r="MR30" s="598"/>
      <c r="MS30" s="590"/>
      <c r="MT30" s="604" t="s">
        <v>3485</v>
      </c>
      <c r="MU30" s="48">
        <v>143.4</v>
      </c>
      <c r="MV30" s="338">
        <v>2212</v>
      </c>
      <c r="MW30" s="285" t="s">
        <v>3467</v>
      </c>
      <c r="MX30" s="160" t="s">
        <v>3543</v>
      </c>
      <c r="MY30" s="62">
        <v>0</v>
      </c>
      <c r="MZ30" s="652" t="s">
        <v>3534</v>
      </c>
      <c r="NA30" s="62">
        <v>3</v>
      </c>
      <c r="NB30" s="338">
        <v>7940</v>
      </c>
      <c r="NC30" s="285" t="s">
        <v>3467</v>
      </c>
      <c r="ND30" s="320"/>
      <c r="NE30" s="320"/>
      <c r="NF30" s="652" t="s">
        <v>3541</v>
      </c>
      <c r="NG30" s="62"/>
      <c r="NH30" s="665" t="s">
        <v>2218</v>
      </c>
      <c r="NI30" s="48"/>
      <c r="NK30" s="50"/>
    </row>
    <row r="31" spans="1:375" ht="12.75" customHeight="1">
      <c r="A31" s="723" t="s">
        <v>300</v>
      </c>
      <c r="B31" s="723"/>
      <c r="E31" s="58"/>
      <c r="F31" s="58"/>
      <c r="G31" s="723" t="s">
        <v>300</v>
      </c>
      <c r="H31" s="723"/>
      <c r="M31" s="724" t="s">
        <v>363</v>
      </c>
      <c r="N31" s="724"/>
      <c r="Q31" s="72" t="s">
        <v>1918</v>
      </c>
      <c r="R31" s="14">
        <v>55</v>
      </c>
      <c r="S31" s="724" t="s">
        <v>363</v>
      </c>
      <c r="T31" s="724"/>
      <c r="W31" s="73" t="s">
        <v>2539</v>
      </c>
      <c r="X31" s="73">
        <v>0</v>
      </c>
      <c r="Y31" s="730" t="s">
        <v>2489</v>
      </c>
      <c r="Z31" s="730"/>
      <c r="AE31" s="724" t="s">
        <v>363</v>
      </c>
      <c r="AF31" s="724"/>
      <c r="AK31" s="66" t="s">
        <v>363</v>
      </c>
      <c r="AL31" s="66" t="s">
        <v>363</v>
      </c>
      <c r="AO31" s="72" t="s">
        <v>2092</v>
      </c>
      <c r="AP31" s="66">
        <v>200</v>
      </c>
      <c r="AQ31" s="66" t="s">
        <v>363</v>
      </c>
      <c r="AR31" s="66"/>
      <c r="AU31" s="72" t="s">
        <v>2092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2540</v>
      </c>
      <c r="BF31" s="14">
        <v>53</v>
      </c>
      <c r="BG31" s="66" t="s">
        <v>363</v>
      </c>
      <c r="BH31" s="66"/>
      <c r="BK31" s="95" t="s">
        <v>2541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2542</v>
      </c>
      <c r="BX31" s="49">
        <v>29.8</v>
      </c>
      <c r="BY31" s="66" t="s">
        <v>363</v>
      </c>
      <c r="BZ31" s="62"/>
      <c r="CC31" s="95" t="s">
        <v>2543</v>
      </c>
      <c r="CD31" s="49">
        <v>37</v>
      </c>
      <c r="CE31" s="66" t="s">
        <v>363</v>
      </c>
      <c r="CF31" s="62"/>
      <c r="CI31" s="108" t="s">
        <v>2544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2545</v>
      </c>
      <c r="CV31" s="49">
        <v>50.26</v>
      </c>
      <c r="CW31" s="54" t="s">
        <v>197</v>
      </c>
      <c r="CX31" s="62"/>
      <c r="DA31" s="125"/>
      <c r="DC31" s="564" t="s">
        <v>2333</v>
      </c>
      <c r="DD31" s="105"/>
      <c r="DE31" s="49" t="s">
        <v>2546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2547</v>
      </c>
      <c r="DN31" s="62">
        <v>5</v>
      </c>
      <c r="DO31" s="740" t="s">
        <v>2548</v>
      </c>
      <c r="DP31" s="740"/>
      <c r="DQ31" s="66"/>
      <c r="DS31" s="123" t="s">
        <v>2549</v>
      </c>
      <c r="DT31" s="62">
        <f>95+70</f>
        <v>165</v>
      </c>
      <c r="DU31" s="144" t="s">
        <v>2499</v>
      </c>
      <c r="DV31" s="145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4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4" t="s">
        <v>2353</v>
      </c>
      <c r="EU31" s="107">
        <v>326.35000000000002</v>
      </c>
      <c r="EX31" s="155" t="s">
        <v>2557</v>
      </c>
      <c r="EY31" s="157"/>
      <c r="EZ31" s="54" t="s">
        <v>2408</v>
      </c>
      <c r="FA31" s="99">
        <f>7000+1000</f>
        <v>8000</v>
      </c>
      <c r="FD31" s="155" t="s">
        <v>2558</v>
      </c>
      <c r="FE31" s="157"/>
      <c r="FF31" s="54" t="s">
        <v>2408</v>
      </c>
      <c r="FG31" s="99">
        <v>0</v>
      </c>
      <c r="FJ31" s="157" t="s">
        <v>2559</v>
      </c>
      <c r="FK31" s="157"/>
      <c r="FL31" s="54" t="s">
        <v>1805</v>
      </c>
      <c r="FM31" s="99">
        <v>1010</v>
      </c>
      <c r="FP31" s="152" t="s">
        <v>2560</v>
      </c>
      <c r="FQ31" s="14">
        <v>8</v>
      </c>
      <c r="FR31" s="54" t="s">
        <v>2455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2298</v>
      </c>
      <c r="FY31" s="102"/>
      <c r="GB31" s="152" t="s">
        <v>2561</v>
      </c>
      <c r="GC31" s="14">
        <v>20</v>
      </c>
      <c r="GD31" s="82" t="s">
        <v>2298</v>
      </c>
      <c r="GE31" s="102"/>
      <c r="GH31" s="152" t="s">
        <v>2562</v>
      </c>
      <c r="GI31" s="14">
        <v>66.62</v>
      </c>
      <c r="GJ31" s="54" t="s">
        <v>2415</v>
      </c>
      <c r="GK31" s="99">
        <v>0</v>
      </c>
      <c r="GN31" s="152" t="s">
        <v>2563</v>
      </c>
      <c r="GO31" s="14">
        <v>14.06</v>
      </c>
      <c r="GP31" s="82" t="s">
        <v>2298</v>
      </c>
      <c r="GQ31" s="102"/>
      <c r="GR31" s="54"/>
      <c r="GS31" s="69"/>
      <c r="GT31" s="152" t="s">
        <v>2564</v>
      </c>
      <c r="GU31" s="14">
        <v>47.67</v>
      </c>
      <c r="GV31" s="74"/>
      <c r="GZ31" s="152" t="s">
        <v>2565</v>
      </c>
      <c r="HA31" s="14">
        <v>41.4</v>
      </c>
      <c r="HB31" s="74" t="s">
        <v>2566</v>
      </c>
      <c r="HC31" s="106">
        <v>1159.4000000000001</v>
      </c>
      <c r="HF31" s="170">
        <v>200</v>
      </c>
      <c r="HG31" s="177"/>
      <c r="HH31" s="187" t="s">
        <v>1822</v>
      </c>
      <c r="HI31" s="193">
        <v>23.05</v>
      </c>
      <c r="HJ31" s="155" t="s">
        <v>2567</v>
      </c>
      <c r="HK31" s="170">
        <v>300</v>
      </c>
      <c r="HL31" s="203">
        <v>45</v>
      </c>
      <c r="HM31" s="155" t="s">
        <v>2147</v>
      </c>
      <c r="HP31" s="169" t="s">
        <v>2366</v>
      </c>
      <c r="HQ31" s="197">
        <f>SUM(HS12:HS23)</f>
        <v>1323.1366666666668</v>
      </c>
      <c r="HR31" s="49" t="s">
        <v>2259</v>
      </c>
      <c r="HS31" s="49">
        <v>429</v>
      </c>
      <c r="HT31" s="54" t="s">
        <v>1935</v>
      </c>
      <c r="HU31" s="99">
        <v>2000</v>
      </c>
      <c r="HX31" s="14" t="s">
        <v>2212</v>
      </c>
      <c r="HY31" s="66">
        <v>20</v>
      </c>
      <c r="HZ31" s="70" t="s">
        <v>1879</v>
      </c>
      <c r="IA31" s="14">
        <v>1000</v>
      </c>
      <c r="IB31" s="152" t="s">
        <v>2428</v>
      </c>
      <c r="IC31" s="14">
        <f>SUM(IE27:IE35)</f>
        <v>712.47</v>
      </c>
      <c r="ID31" s="152" t="s">
        <v>2568</v>
      </c>
      <c r="IE31" s="14">
        <v>10</v>
      </c>
      <c r="IF31" s="74" t="s">
        <v>2569</v>
      </c>
      <c r="IG31" s="233">
        <v>125.91</v>
      </c>
      <c r="IH31" s="193"/>
      <c r="II31" s="211"/>
      <c r="IJ31" s="152" t="s">
        <v>2570</v>
      </c>
      <c r="IK31" s="14">
        <f>22+32.4</f>
        <v>54.4</v>
      </c>
      <c r="IL31" s="74"/>
      <c r="IM31" s="102"/>
      <c r="IN31" s="198"/>
      <c r="IP31" s="152" t="s">
        <v>2571</v>
      </c>
      <c r="IQ31" s="48">
        <v>42.17</v>
      </c>
      <c r="IR31" s="74"/>
      <c r="IV31" s="203">
        <v>50</v>
      </c>
      <c r="IW31" s="243" t="s">
        <v>2418</v>
      </c>
      <c r="IX31" s="14" t="s">
        <v>197</v>
      </c>
      <c r="IZ31" s="159" t="s">
        <v>1237</v>
      </c>
      <c r="JA31" s="50">
        <f>SUM(JC8:JC10)</f>
        <v>1354.32</v>
      </c>
      <c r="JB31" s="250" t="s">
        <v>2572</v>
      </c>
      <c r="JC31" s="106">
        <v>74.959999999999994</v>
      </c>
      <c r="JD31" s="14" t="s">
        <v>2573</v>
      </c>
      <c r="JF31" s="162" t="s">
        <v>2307</v>
      </c>
      <c r="JG31" s="173">
        <f>SUM(JI9:JI11)</f>
        <v>2683.17</v>
      </c>
      <c r="JH31" s="152" t="s">
        <v>2574</v>
      </c>
      <c r="JI31" s="106">
        <f>6.2+29.5</f>
        <v>35.700000000000003</v>
      </c>
      <c r="JL31" s="167" t="s">
        <v>2366</v>
      </c>
      <c r="JM31" s="50">
        <f>SUM(JO14:JO21)</f>
        <v>1710.4379999999999</v>
      </c>
      <c r="JN31" s="177" t="s">
        <v>2477</v>
      </c>
      <c r="JO31" s="202">
        <f>JK22+JM35-JQ20</f>
        <v>770</v>
      </c>
      <c r="JQ31" s="50"/>
      <c r="JR31" s="152" t="s">
        <v>2575</v>
      </c>
      <c r="JS31" s="262">
        <f>SUM(JU24:JU27)</f>
        <v>169.60000000000002</v>
      </c>
      <c r="JT31" s="177" t="s">
        <v>2477</v>
      </c>
      <c r="JU31" s="202">
        <f>JQ20+JS34-JW19</f>
        <v>70</v>
      </c>
      <c r="JZ31" s="169" t="s">
        <v>2576</v>
      </c>
      <c r="KA31" s="48">
        <f>64+30.9</f>
        <v>94.9</v>
      </c>
      <c r="KB31" s="14" t="s">
        <v>2573</v>
      </c>
      <c r="KD31" s="159" t="s">
        <v>1237</v>
      </c>
      <c r="KE31" s="50">
        <v>0</v>
      </c>
      <c r="KF31" s="203">
        <v>70</v>
      </c>
      <c r="KG31" s="243" t="s">
        <v>2418</v>
      </c>
      <c r="KH31" s="74" t="s">
        <v>2225</v>
      </c>
      <c r="KI31" s="48">
        <v>1.64</v>
      </c>
      <c r="KK31" s="54"/>
      <c r="KL31" s="152" t="s">
        <v>2165</v>
      </c>
      <c r="KM31" s="106">
        <v>57.86</v>
      </c>
      <c r="KN31" s="70" t="s">
        <v>2577</v>
      </c>
      <c r="KO31" s="48">
        <v>3.54</v>
      </c>
      <c r="KQ31" s="54"/>
      <c r="KR31" s="152" t="s">
        <v>2578</v>
      </c>
      <c r="KS31" s="48">
        <v>43.9</v>
      </c>
      <c r="KT31" s="74" t="s">
        <v>2579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2580</v>
      </c>
      <c r="LI31" s="96">
        <f>SUM(LK20:LK20)</f>
        <v>1154.33</v>
      </c>
      <c r="LJ31" s="152" t="s">
        <v>2581</v>
      </c>
      <c r="LK31" s="106">
        <f>45.98+50</f>
        <v>95.97999999999999</v>
      </c>
      <c r="LL31" s="74" t="s">
        <v>2123</v>
      </c>
      <c r="LM31" s="48"/>
      <c r="LN31" s="183" t="s">
        <v>1200</v>
      </c>
      <c r="LO31" s="62">
        <f>SUM(LQ7:LQ11)</f>
        <v>8400.23</v>
      </c>
      <c r="LP31" s="152" t="s">
        <v>2582</v>
      </c>
      <c r="LQ31" s="48">
        <v>80</v>
      </c>
      <c r="LR31" s="70" t="s">
        <v>2583</v>
      </c>
      <c r="LS31" s="14">
        <v>8</v>
      </c>
      <c r="LT31" s="52" t="s">
        <v>2221</v>
      </c>
      <c r="LU31" s="312"/>
      <c r="LV31" s="152" t="s">
        <v>2584</v>
      </c>
      <c r="LW31" s="48">
        <v>53.72</v>
      </c>
      <c r="LX31" s="70" t="s">
        <v>2276</v>
      </c>
      <c r="LY31" s="50"/>
      <c r="MB31" s="72" t="s">
        <v>2585</v>
      </c>
      <c r="MC31" s="62">
        <v>14.9</v>
      </c>
      <c r="MD31" s="74" t="s">
        <v>2123</v>
      </c>
      <c r="MF31" s="329"/>
      <c r="MG31" s="328"/>
      <c r="MH31" s="326" t="s">
        <v>2586</v>
      </c>
      <c r="MI31" s="48">
        <v>50.74</v>
      </c>
      <c r="MJ31" s="213">
        <v>0</v>
      </c>
      <c r="MK31" s="50" t="s">
        <v>2442</v>
      </c>
      <c r="ML31" s="329"/>
      <c r="MM31" s="328"/>
      <c r="MN31" s="326" t="s">
        <v>3409</v>
      </c>
      <c r="MO31" s="48">
        <v>8.8000000000000007</v>
      </c>
      <c r="MP31" s="213">
        <v>0</v>
      </c>
      <c r="MQ31" s="50" t="s">
        <v>2442</v>
      </c>
      <c r="MR31" s="320"/>
      <c r="MS31" s="320"/>
      <c r="MT31" s="604" t="s">
        <v>3474</v>
      </c>
      <c r="MU31" s="48">
        <v>39.33</v>
      </c>
      <c r="MV31" s="213">
        <v>0</v>
      </c>
      <c r="MW31" s="50" t="s">
        <v>2442</v>
      </c>
      <c r="MX31" s="49" t="s">
        <v>2630</v>
      </c>
      <c r="MY31" s="48">
        <v>0</v>
      </c>
      <c r="MZ31" s="652" t="s">
        <v>3542</v>
      </c>
      <c r="NA31" s="62">
        <v>16</v>
      </c>
      <c r="NB31" s="213">
        <v>0</v>
      </c>
      <c r="NC31" s="50" t="s">
        <v>2442</v>
      </c>
      <c r="ND31" s="663" t="s">
        <v>2221</v>
      </c>
      <c r="NE31" s="312"/>
      <c r="NF31" s="652" t="s">
        <v>3541</v>
      </c>
      <c r="NG31" s="62"/>
      <c r="NH31" s="603" t="s">
        <v>3566</v>
      </c>
      <c r="NI31" s="48">
        <v>1000</v>
      </c>
    </row>
    <row r="32" spans="1:375">
      <c r="A32" s="730" t="s">
        <v>2489</v>
      </c>
      <c r="B32" s="730"/>
      <c r="C32" s="69"/>
      <c r="D32" s="69"/>
      <c r="E32" s="69"/>
      <c r="F32" s="69"/>
      <c r="G32" s="730" t="s">
        <v>2489</v>
      </c>
      <c r="H32" s="730"/>
      <c r="K32" s="73" t="s">
        <v>2588</v>
      </c>
      <c r="L32" s="73"/>
      <c r="M32" s="731" t="s">
        <v>2573</v>
      </c>
      <c r="N32" s="731"/>
      <c r="Q32" s="72" t="s">
        <v>1986</v>
      </c>
      <c r="R32" s="14">
        <v>77.239999999999995</v>
      </c>
      <c r="S32" s="731" t="s">
        <v>2573</v>
      </c>
      <c r="T32" s="731"/>
      <c r="Y32" s="724" t="s">
        <v>363</v>
      </c>
      <c r="Z32" s="724"/>
      <c r="AC32" s="574" t="s">
        <v>1395</v>
      </c>
      <c r="AD32" s="14">
        <v>350</v>
      </c>
      <c r="AE32" s="731" t="s">
        <v>2573</v>
      </c>
      <c r="AF32" s="731"/>
      <c r="AI32" s="574" t="s">
        <v>1395</v>
      </c>
      <c r="AJ32" s="14">
        <v>200</v>
      </c>
      <c r="AK32" s="74" t="s">
        <v>2573</v>
      </c>
      <c r="AL32" s="74" t="s">
        <v>2573</v>
      </c>
      <c r="AQ32" s="74" t="s">
        <v>2573</v>
      </c>
      <c r="AR32" s="74"/>
      <c r="AW32" s="74" t="s">
        <v>2573</v>
      </c>
      <c r="AX32" s="74"/>
      <c r="BA32" s="74" t="s">
        <v>2573</v>
      </c>
      <c r="BB32" s="74"/>
      <c r="BE32" s="83" t="s">
        <v>2589</v>
      </c>
      <c r="BF32" s="14">
        <v>14</v>
      </c>
      <c r="BG32" s="74" t="s">
        <v>2573</v>
      </c>
      <c r="BH32" s="74"/>
      <c r="BM32" s="74" t="s">
        <v>2573</v>
      </c>
      <c r="BN32" s="74"/>
      <c r="BQ32" s="49" t="s">
        <v>2590</v>
      </c>
      <c r="BR32" s="49" t="s">
        <v>2591</v>
      </c>
      <c r="BS32" s="74" t="s">
        <v>2573</v>
      </c>
      <c r="BT32" s="102"/>
      <c r="BW32" s="95"/>
      <c r="BY32" s="74" t="s">
        <v>2573</v>
      </c>
      <c r="BZ32" s="106"/>
      <c r="CC32" s="95" t="s">
        <v>2592</v>
      </c>
      <c r="CD32" s="49">
        <v>82.15</v>
      </c>
      <c r="CE32" s="74" t="s">
        <v>2573</v>
      </c>
      <c r="CF32" s="106"/>
      <c r="CI32" s="108" t="s">
        <v>2593</v>
      </c>
      <c r="CJ32" s="49">
        <v>28.6</v>
      </c>
      <c r="CK32" s="74" t="s">
        <v>2573</v>
      </c>
      <c r="CL32" s="106"/>
      <c r="CO32" s="49" t="s">
        <v>2594</v>
      </c>
      <c r="CP32" s="49">
        <v>60</v>
      </c>
      <c r="CQ32" s="74" t="s">
        <v>2573</v>
      </c>
      <c r="CR32" s="106"/>
      <c r="CU32" s="49" t="s">
        <v>2595</v>
      </c>
      <c r="CV32" s="49">
        <v>11</v>
      </c>
      <c r="CW32" s="14" t="s">
        <v>2446</v>
      </c>
      <c r="CX32" s="106"/>
      <c r="DA32" s="732" t="s">
        <v>2477</v>
      </c>
      <c r="DB32" s="733"/>
      <c r="DC32" s="54" t="s">
        <v>197</v>
      </c>
      <c r="DD32" s="62"/>
      <c r="DE32" s="66" t="s">
        <v>2596</v>
      </c>
      <c r="DF32" s="49">
        <v>307.61</v>
      </c>
      <c r="DG32" s="93" t="s">
        <v>1866</v>
      </c>
      <c r="DH32" s="62">
        <f>140.45+146.45</f>
        <v>286.89999999999998</v>
      </c>
      <c r="DI32" s="21" t="s">
        <v>1993</v>
      </c>
      <c r="DJ32" s="97">
        <v>10000</v>
      </c>
      <c r="DM32" s="123" t="s">
        <v>2597</v>
      </c>
      <c r="DN32" s="62">
        <v>20</v>
      </c>
      <c r="DO32" s="116" t="s">
        <v>2598</v>
      </c>
      <c r="DP32" s="116"/>
      <c r="DS32" s="123" t="s">
        <v>2599</v>
      </c>
      <c r="DT32" s="62">
        <v>8.5</v>
      </c>
      <c r="DU32" s="146" t="s">
        <v>2600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4" t="s">
        <v>2603</v>
      </c>
      <c r="EU32" s="96">
        <v>1178</v>
      </c>
      <c r="EX32" s="155" t="s">
        <v>2604</v>
      </c>
      <c r="EY32" s="157"/>
      <c r="EZ32" s="54" t="s">
        <v>2455</v>
      </c>
      <c r="FA32" s="99" t="s">
        <v>646</v>
      </c>
      <c r="FD32" s="155" t="s">
        <v>2605</v>
      </c>
      <c r="FE32" s="157"/>
      <c r="FF32" s="54" t="s">
        <v>2455</v>
      </c>
      <c r="FG32" s="99">
        <v>0</v>
      </c>
      <c r="FJ32" s="155" t="s">
        <v>2606</v>
      </c>
      <c r="FK32" s="157"/>
      <c r="FL32" s="54" t="s">
        <v>1805</v>
      </c>
      <c r="FM32" s="99">
        <v>6010</v>
      </c>
      <c r="FP32" s="152" t="s">
        <v>2607</v>
      </c>
      <c r="FQ32" s="14">
        <f>6+4.39+49</f>
        <v>59.39</v>
      </c>
      <c r="FR32" s="82" t="s">
        <v>2298</v>
      </c>
      <c r="FS32" s="102"/>
      <c r="FV32" s="157" t="s">
        <v>2608</v>
      </c>
      <c r="FW32" s="157"/>
      <c r="FX32" s="74"/>
      <c r="FY32" s="102"/>
      <c r="GB32" s="152" t="s">
        <v>2547</v>
      </c>
      <c r="GC32" s="14">
        <v>10</v>
      </c>
      <c r="GD32" s="74"/>
      <c r="GE32" s="102"/>
      <c r="GH32" s="177" t="s">
        <v>2355</v>
      </c>
      <c r="GI32" s="177"/>
      <c r="GJ32" s="82" t="s">
        <v>2298</v>
      </c>
      <c r="GK32" s="102"/>
      <c r="GN32" s="152" t="s">
        <v>2609</v>
      </c>
      <c r="GO32" s="14">
        <v>10</v>
      </c>
      <c r="GP32" s="175" t="s">
        <v>2610</v>
      </c>
      <c r="GQ32" s="66">
        <v>35.1</v>
      </c>
      <c r="GT32" s="152" t="s">
        <v>2321</v>
      </c>
      <c r="GU32" s="14">
        <f>37.5+18.7</f>
        <v>56.2</v>
      </c>
      <c r="GV32" s="74"/>
      <c r="GW32" s="102"/>
      <c r="GZ32" s="152" t="s">
        <v>2611</v>
      </c>
      <c r="HA32" s="14">
        <f>12.35+5.8</f>
        <v>18.149999999999999</v>
      </c>
      <c r="HB32" s="74" t="s">
        <v>2612</v>
      </c>
      <c r="HC32" s="106">
        <v>13.5</v>
      </c>
      <c r="HF32" s="157" t="s">
        <v>2613</v>
      </c>
      <c r="HG32" s="171">
        <f>HC17+HF31-HI16</f>
        <v>200</v>
      </c>
      <c r="HH32" s="188" t="s">
        <v>1953</v>
      </c>
      <c r="HI32" s="198">
        <v>1580.64</v>
      </c>
      <c r="HK32" s="154"/>
      <c r="HL32" s="203">
        <v>5</v>
      </c>
      <c r="HM32" s="155" t="s">
        <v>2614</v>
      </c>
      <c r="HP32" s="169" t="s">
        <v>2615</v>
      </c>
      <c r="HQ32" s="197"/>
      <c r="HR32" s="201">
        <v>28.54</v>
      </c>
      <c r="HS32" s="49" t="s">
        <v>2305</v>
      </c>
      <c r="HT32" s="54" t="s">
        <v>1995</v>
      </c>
      <c r="HU32" s="99">
        <v>4000</v>
      </c>
      <c r="HX32" s="14" t="s">
        <v>2616</v>
      </c>
      <c r="HY32" s="66">
        <v>10</v>
      </c>
      <c r="HZ32" s="54" t="s">
        <v>1461</v>
      </c>
      <c r="IA32" s="99">
        <v>3000</v>
      </c>
      <c r="IB32" s="152" t="s">
        <v>2512</v>
      </c>
      <c r="IC32" s="14">
        <f>SUM(IE31:IE35)</f>
        <v>210.71</v>
      </c>
      <c r="ID32" s="152" t="s">
        <v>2617</v>
      </c>
      <c r="IE32" s="14">
        <f>40.3+11+11.4+19.2</f>
        <v>81.899999999999991</v>
      </c>
      <c r="IF32" s="74" t="s">
        <v>2618</v>
      </c>
      <c r="IG32" s="102">
        <v>146</v>
      </c>
      <c r="IH32" s="193"/>
      <c r="II32" s="211"/>
      <c r="IJ32" s="152" t="s">
        <v>2619</v>
      </c>
      <c r="IK32" s="14">
        <f>10.1+8+57.3+1.6</f>
        <v>77</v>
      </c>
      <c r="IL32" s="14" t="s">
        <v>372</v>
      </c>
      <c r="IN32" s="715" t="s">
        <v>2117</v>
      </c>
      <c r="IO32" s="715"/>
      <c r="IP32" s="152" t="s">
        <v>2620</v>
      </c>
      <c r="IQ32" s="48">
        <v>6.5</v>
      </c>
      <c r="IR32" s="14" t="s">
        <v>372</v>
      </c>
      <c r="IV32" s="203">
        <v>10</v>
      </c>
      <c r="IW32" s="243" t="s">
        <v>2621</v>
      </c>
      <c r="IX32" s="14" t="s">
        <v>2622</v>
      </c>
      <c r="IZ32" s="162" t="s">
        <v>2307</v>
      </c>
      <c r="JA32" s="50">
        <f>SUM(JC11:JC13)</f>
        <v>762.4899999999999</v>
      </c>
      <c r="JB32" s="250" t="s">
        <v>2623</v>
      </c>
      <c r="JC32" s="106">
        <v>74.13</v>
      </c>
      <c r="JF32" s="167" t="s">
        <v>2366</v>
      </c>
      <c r="JG32" s="50">
        <f>SUM(JI16:JI24)</f>
        <v>412.16</v>
      </c>
      <c r="JH32" s="14" t="s">
        <v>2433</v>
      </c>
      <c r="JI32" s="62">
        <v>78</v>
      </c>
      <c r="JJ32" s="14" t="s">
        <v>372</v>
      </c>
      <c r="JL32" s="152" t="s">
        <v>2428</v>
      </c>
      <c r="JM32" s="50">
        <f>SUM(JO22:JO27)</f>
        <v>3204.23</v>
      </c>
      <c r="JN32" s="203">
        <v>60</v>
      </c>
      <c r="JO32" s="243" t="s">
        <v>2418</v>
      </c>
      <c r="JQ32" s="50"/>
      <c r="JT32" s="203">
        <v>30</v>
      </c>
      <c r="JU32" s="243" t="s">
        <v>2624</v>
      </c>
      <c r="JZ32" s="169" t="s">
        <v>1779</v>
      </c>
      <c r="KA32" s="48">
        <v>10.8</v>
      </c>
      <c r="KD32" s="162" t="s">
        <v>2307</v>
      </c>
      <c r="KE32" s="50">
        <f>SUM(KG7:KG7)</f>
        <v>10.25</v>
      </c>
      <c r="KF32" s="203">
        <v>45</v>
      </c>
      <c r="KG32" s="243" t="s">
        <v>2625</v>
      </c>
      <c r="KH32" s="74" t="s">
        <v>2626</v>
      </c>
      <c r="KI32" s="48"/>
      <c r="KL32" s="152" t="s">
        <v>2627</v>
      </c>
      <c r="KM32" s="106">
        <v>36.5</v>
      </c>
      <c r="KN32" s="14" t="s">
        <v>2628</v>
      </c>
      <c r="KO32" s="48">
        <v>58.2</v>
      </c>
      <c r="KR32" s="152" t="s">
        <v>2629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2630</v>
      </c>
      <c r="LI32" s="50">
        <f>SUM(LK8:LK9)</f>
        <v>393.36</v>
      </c>
      <c r="LJ32" s="152" t="s">
        <v>2631</v>
      </c>
      <c r="LK32" s="106">
        <v>43.76</v>
      </c>
      <c r="LL32" s="70" t="s">
        <v>2632</v>
      </c>
      <c r="LM32" s="48">
        <v>37.99</v>
      </c>
      <c r="LN32" s="313" t="s">
        <v>2587</v>
      </c>
      <c r="LO32" s="62">
        <f>SUM(LQ12:LQ12)</f>
        <v>0</v>
      </c>
      <c r="LP32" s="152" t="s">
        <v>2633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2634</v>
      </c>
      <c r="LW32" s="62">
        <v>70</v>
      </c>
      <c r="LZ32" s="52" t="s">
        <v>2221</v>
      </c>
      <c r="MA32" s="312"/>
      <c r="MB32" s="120" t="s">
        <v>2635</v>
      </c>
      <c r="MC32" s="62">
        <v>79.3</v>
      </c>
      <c r="MD32" s="70" t="s">
        <v>2636</v>
      </c>
      <c r="ME32" s="48">
        <v>182</v>
      </c>
      <c r="MF32" s="329"/>
      <c r="MG32" s="328"/>
      <c r="MH32" s="326" t="s">
        <v>2637</v>
      </c>
      <c r="MI32" s="48">
        <f>17.1+17.1</f>
        <v>34.200000000000003</v>
      </c>
      <c r="MJ32" s="74" t="s">
        <v>2218</v>
      </c>
      <c r="MK32" s="48"/>
      <c r="ML32" s="329"/>
      <c r="MM32" s="328"/>
      <c r="MN32" s="326" t="s">
        <v>3412</v>
      </c>
      <c r="MO32" s="48">
        <f>19.69+33.2</f>
        <v>52.89</v>
      </c>
      <c r="MP32" s="74"/>
      <c r="MQ32" s="48"/>
      <c r="MR32" s="594" t="s">
        <v>2221</v>
      </c>
      <c r="MS32" s="312"/>
      <c r="MT32" s="604" t="s">
        <v>3486</v>
      </c>
      <c r="MU32" s="48">
        <v>19.899999999999999</v>
      </c>
      <c r="MV32" s="600" t="s">
        <v>2218</v>
      </c>
      <c r="MW32" s="48"/>
      <c r="MX32" s="152" t="s">
        <v>2678</v>
      </c>
      <c r="MY32" s="48">
        <f>SUM(NA10:NA14)</f>
        <v>197.39</v>
      </c>
      <c r="MZ32" s="652" t="s">
        <v>3515</v>
      </c>
      <c r="NA32" s="643">
        <f>21+41.8</f>
        <v>62.8</v>
      </c>
      <c r="NB32" s="646" t="s">
        <v>2218</v>
      </c>
      <c r="NC32" s="48"/>
      <c r="ND32" s="330" t="s">
        <v>1200</v>
      </c>
      <c r="NE32" s="62">
        <f>SUM(NG6:NG6)</f>
        <v>0</v>
      </c>
      <c r="NF32" s="652" t="s">
        <v>3541</v>
      </c>
      <c r="NG32" s="62"/>
      <c r="NH32" s="603" t="s">
        <v>3570</v>
      </c>
      <c r="NI32" s="48">
        <v>5000</v>
      </c>
    </row>
    <row r="33" spans="1:375">
      <c r="A33" s="724" t="s">
        <v>363</v>
      </c>
      <c r="B33" s="724"/>
      <c r="E33" s="575" t="s">
        <v>455</v>
      </c>
      <c r="F33" s="58"/>
      <c r="G33" s="724" t="s">
        <v>363</v>
      </c>
      <c r="H33" s="724"/>
      <c r="K33" s="73" t="s">
        <v>2638</v>
      </c>
      <c r="L33" s="73">
        <v>652</v>
      </c>
      <c r="Q33" s="72" t="s">
        <v>2041</v>
      </c>
      <c r="R33" s="14">
        <v>32</v>
      </c>
      <c r="W33" s="77" t="s">
        <v>2639</v>
      </c>
      <c r="X33" s="77">
        <v>283</v>
      </c>
      <c r="Y33" s="731" t="s">
        <v>2573</v>
      </c>
      <c r="Z33" s="731"/>
      <c r="AC33" s="564" t="s">
        <v>2640</v>
      </c>
      <c r="AD33" s="14">
        <v>100</v>
      </c>
      <c r="AI33" s="564" t="s">
        <v>2640</v>
      </c>
      <c r="AJ33" s="14">
        <v>200</v>
      </c>
      <c r="AO33" s="83" t="s">
        <v>2641</v>
      </c>
      <c r="AP33" s="14">
        <f>242+12+489</f>
        <v>743</v>
      </c>
      <c r="AU33" s="83" t="s">
        <v>2642</v>
      </c>
      <c r="AV33" s="14">
        <v>24</v>
      </c>
      <c r="AY33" s="83"/>
      <c r="BE33" s="83" t="s">
        <v>2643</v>
      </c>
      <c r="BF33" s="14">
        <v>18</v>
      </c>
      <c r="BK33" s="49" t="s">
        <v>2644</v>
      </c>
      <c r="BL33" s="49" t="s">
        <v>2591</v>
      </c>
      <c r="BQ33" s="49" t="s">
        <v>2645</v>
      </c>
      <c r="BR33" s="49" t="s">
        <v>2591</v>
      </c>
      <c r="BW33" s="49" t="s">
        <v>2646</v>
      </c>
      <c r="BX33" s="49" t="s">
        <v>2647</v>
      </c>
      <c r="CC33" s="95" t="s">
        <v>2648</v>
      </c>
      <c r="CD33" s="49">
        <v>171.4</v>
      </c>
      <c r="CI33" s="108" t="s">
        <v>2649</v>
      </c>
      <c r="CJ33" s="49">
        <v>44</v>
      </c>
      <c r="CO33" s="49" t="s">
        <v>2650</v>
      </c>
      <c r="CP33" s="49">
        <v>24</v>
      </c>
      <c r="CU33" s="49" t="s">
        <v>2651</v>
      </c>
      <c r="CV33" s="49">
        <v>318</v>
      </c>
      <c r="CW33" s="82" t="s">
        <v>2489</v>
      </c>
      <c r="DA33" s="127" t="s">
        <v>2652</v>
      </c>
      <c r="DB33" s="127">
        <v>300</v>
      </c>
      <c r="DC33" s="14" t="s">
        <v>2446</v>
      </c>
      <c r="DD33" s="106"/>
      <c r="DE33" s="66" t="s">
        <v>2653</v>
      </c>
      <c r="DF33" s="49">
        <f>569.34-527</f>
        <v>42.340000000000032</v>
      </c>
      <c r="DG33" s="93" t="s">
        <v>2098</v>
      </c>
      <c r="DH33" s="62">
        <f>2*(11+53.24)</f>
        <v>128.48000000000002</v>
      </c>
      <c r="DI33" s="21"/>
      <c r="DJ33" s="97"/>
      <c r="DM33" s="123" t="s">
        <v>2654</v>
      </c>
      <c r="DN33" s="62">
        <v>10</v>
      </c>
      <c r="DP33" s="61"/>
      <c r="DS33" s="123" t="s">
        <v>2655</v>
      </c>
      <c r="DT33" s="51">
        <v>11.41</v>
      </c>
      <c r="DU33" s="116" t="s">
        <v>2656</v>
      </c>
      <c r="DV33" s="116">
        <v>214</v>
      </c>
      <c r="DY33" s="14" t="s">
        <v>2657</v>
      </c>
      <c r="DZ33" s="14">
        <f>55.46-17.24</f>
        <v>38.22</v>
      </c>
      <c r="EA33" s="564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5" t="s">
        <v>2661</v>
      </c>
      <c r="EY33" s="157"/>
      <c r="EZ33" s="82" t="s">
        <v>2298</v>
      </c>
      <c r="FA33" s="102" t="s">
        <v>646</v>
      </c>
      <c r="FD33" s="155" t="s">
        <v>2662</v>
      </c>
      <c r="FE33" s="21"/>
      <c r="FF33" s="82" t="s">
        <v>2298</v>
      </c>
      <c r="FG33" s="102" t="s">
        <v>646</v>
      </c>
      <c r="FJ33" s="155" t="s">
        <v>2663</v>
      </c>
      <c r="FK33" s="157"/>
      <c r="FL33" s="54" t="s">
        <v>1805</v>
      </c>
      <c r="FM33" s="99">
        <v>10010</v>
      </c>
      <c r="FP33" s="152" t="s">
        <v>2664</v>
      </c>
      <c r="FQ33" s="14">
        <v>26.78</v>
      </c>
      <c r="FR33" s="74" t="s">
        <v>2665</v>
      </c>
      <c r="FS33" s="102">
        <v>53.5</v>
      </c>
      <c r="FV33" s="155" t="s">
        <v>2418</v>
      </c>
      <c r="FW33" s="157"/>
      <c r="FX33" s="74"/>
      <c r="FY33" s="102"/>
      <c r="GB33" s="177" t="s">
        <v>2355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2610</v>
      </c>
      <c r="GK33" s="66">
        <v>35.1</v>
      </c>
      <c r="GN33" s="152" t="s">
        <v>2666</v>
      </c>
      <c r="GO33" s="14">
        <v>20</v>
      </c>
      <c r="GP33" s="74" t="s">
        <v>2667</v>
      </c>
      <c r="GQ33" s="102">
        <v>81</v>
      </c>
      <c r="GT33" s="177" t="s">
        <v>2355</v>
      </c>
      <c r="GU33" s="21"/>
      <c r="GV33" s="14" t="s">
        <v>372</v>
      </c>
      <c r="GZ33" s="152" t="s">
        <v>2668</v>
      </c>
      <c r="HA33" s="14">
        <v>31.78</v>
      </c>
      <c r="HB33" s="74" t="s">
        <v>2669</v>
      </c>
      <c r="HC33" s="106">
        <v>12.9</v>
      </c>
      <c r="HF33" s="181">
        <v>35</v>
      </c>
      <c r="HG33" s="189" t="s">
        <v>2670</v>
      </c>
      <c r="HH33" s="188" t="s">
        <v>2313</v>
      </c>
      <c r="HI33" s="198">
        <v>6.1</v>
      </c>
      <c r="HL33" s="203">
        <v>17</v>
      </c>
      <c r="HM33" s="155" t="s">
        <v>2671</v>
      </c>
      <c r="HP33" s="152" t="s">
        <v>2428</v>
      </c>
      <c r="HQ33" s="14">
        <f>SUM(HS24:HS29)</f>
        <v>160.6</v>
      </c>
      <c r="HR33" s="177" t="s">
        <v>2672</v>
      </c>
      <c r="HS33" s="202">
        <f>HO18+HQ36-HU24</f>
        <v>100</v>
      </c>
      <c r="HT33" s="82"/>
      <c r="HU33" s="102"/>
      <c r="HX33" s="49" t="s">
        <v>2259</v>
      </c>
      <c r="HY33" s="49">
        <v>434</v>
      </c>
      <c r="HZ33" s="54" t="s">
        <v>1515</v>
      </c>
      <c r="IA33" s="99">
        <v>4000</v>
      </c>
      <c r="IB33" s="47" t="s">
        <v>2421</v>
      </c>
      <c r="IC33" s="14">
        <f>SUM(IE54:IE58)</f>
        <v>235.25000000000003</v>
      </c>
      <c r="ID33" s="152" t="s">
        <v>2673</v>
      </c>
      <c r="IE33" s="14">
        <v>30.01</v>
      </c>
      <c r="IH33" s="193"/>
      <c r="II33" s="211"/>
      <c r="IJ33" s="152" t="s">
        <v>2674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2315</v>
      </c>
      <c r="IQ33" s="62">
        <v>40</v>
      </c>
      <c r="IR33" s="14" t="s">
        <v>197</v>
      </c>
      <c r="IU33" s="232"/>
      <c r="IV33" s="242" t="s">
        <v>2675</v>
      </c>
      <c r="IW33" s="247">
        <v>70</v>
      </c>
      <c r="IX33" s="14" t="s">
        <v>2555</v>
      </c>
      <c r="IZ33" s="167" t="s">
        <v>2366</v>
      </c>
      <c r="JA33" s="50">
        <f>SUM(JC17:JC25)</f>
        <v>1699.2099999999998</v>
      </c>
      <c r="JB33" s="250" t="s">
        <v>2676</v>
      </c>
      <c r="JC33" s="106">
        <v>24.71</v>
      </c>
      <c r="JF33" s="152" t="s">
        <v>2428</v>
      </c>
      <c r="JG33" s="50">
        <f>SUM(JI25:JI31)</f>
        <v>353.64</v>
      </c>
      <c r="JH33" s="49" t="s">
        <v>2259</v>
      </c>
      <c r="JI33" s="51">
        <f>158+69+34+259</f>
        <v>520</v>
      </c>
      <c r="JJ33" s="14" t="s">
        <v>197</v>
      </c>
      <c r="JL33" s="152" t="s">
        <v>2476</v>
      </c>
      <c r="JM33" s="50">
        <f>SUM(JO23:JO27)</f>
        <v>251.23</v>
      </c>
      <c r="JN33" s="203">
        <v>40</v>
      </c>
      <c r="JO33" s="243" t="s">
        <v>2677</v>
      </c>
      <c r="JQ33" s="50"/>
      <c r="JT33" s="203">
        <v>10</v>
      </c>
      <c r="JU33" s="243" t="s">
        <v>2418</v>
      </c>
      <c r="JZ33" s="169" t="s">
        <v>1675</v>
      </c>
      <c r="KA33" s="48">
        <f>16.3+16.34+12.3+10+15.21+16.19+10+16.01+15.57+10+10+15.19</f>
        <v>163.11000000000001</v>
      </c>
      <c r="KD33" s="167" t="s">
        <v>2678</v>
      </c>
      <c r="KE33" s="50">
        <f>SUM(KG9:KG17)</f>
        <v>1038.25</v>
      </c>
      <c r="KF33" s="203">
        <v>30</v>
      </c>
      <c r="KG33" s="243" t="s">
        <v>2679</v>
      </c>
      <c r="KH33" s="74" t="s">
        <v>2680</v>
      </c>
      <c r="KI33" s="106">
        <v>52.8</v>
      </c>
      <c r="KL33" s="152" t="s">
        <v>2681</v>
      </c>
      <c r="KM33" s="106">
        <v>50.1</v>
      </c>
      <c r="KN33" s="74" t="s">
        <v>2682</v>
      </c>
      <c r="KO33" s="48">
        <v>16.3</v>
      </c>
      <c r="KR33" s="152" t="s">
        <v>2683</v>
      </c>
      <c r="KS33" s="106">
        <v>48.11</v>
      </c>
      <c r="KT33" s="74"/>
      <c r="KU33" s="48"/>
      <c r="KV33" s="66"/>
      <c r="KX33" s="152" t="s">
        <v>2684</v>
      </c>
      <c r="KY33" s="48">
        <v>40</v>
      </c>
      <c r="KZ33" s="70"/>
      <c r="LA33" s="48"/>
      <c r="LD33" s="152" t="s">
        <v>2685</v>
      </c>
      <c r="LE33" s="48">
        <v>40</v>
      </c>
      <c r="LF33" s="74" t="s">
        <v>2686</v>
      </c>
      <c r="LH33" s="160" t="s">
        <v>2687</v>
      </c>
      <c r="LI33" s="50">
        <f>SUM(LK10:LK16)</f>
        <v>1005.08</v>
      </c>
      <c r="LJ33" s="152" t="s">
        <v>2688</v>
      </c>
      <c r="LK33" s="106">
        <f>15.1+24.6</f>
        <v>39.700000000000003</v>
      </c>
      <c r="LL33" s="70" t="s">
        <v>2689</v>
      </c>
      <c r="LM33" s="48">
        <v>10184</v>
      </c>
      <c r="LN33" s="49" t="s">
        <v>2630</v>
      </c>
      <c r="LO33" s="314">
        <f>SUM(LQ13:LQ14)</f>
        <v>3219.09</v>
      </c>
      <c r="LP33" s="152" t="s">
        <v>2690</v>
      </c>
      <c r="LQ33" s="48">
        <f>9.79+12.29</f>
        <v>22.08</v>
      </c>
      <c r="LT33" s="313" t="s">
        <v>2587</v>
      </c>
      <c r="LU33" s="62">
        <f>SUM(LW11:LW11)</f>
        <v>50065.8</v>
      </c>
      <c r="LV33" s="49" t="s">
        <v>2691</v>
      </c>
      <c r="LW33" s="106">
        <v>16</v>
      </c>
      <c r="LX33" s="74" t="s">
        <v>2123</v>
      </c>
      <c r="LY33" s="48"/>
      <c r="LZ33" s="330" t="s">
        <v>1200</v>
      </c>
      <c r="MA33" s="62">
        <f>SUM(MC6:MC6)</f>
        <v>0</v>
      </c>
      <c r="MB33" s="120" t="s">
        <v>2692</v>
      </c>
      <c r="MC33" s="62">
        <v>69.2</v>
      </c>
      <c r="MF33" s="329"/>
      <c r="MG33" s="328"/>
      <c r="MH33" s="326" t="s">
        <v>2693</v>
      </c>
      <c r="MI33" s="48">
        <v>25.8</v>
      </c>
      <c r="ML33" s="320"/>
      <c r="MM33" s="320"/>
      <c r="MN33" s="326" t="s">
        <v>3415</v>
      </c>
      <c r="MO33" s="48">
        <v>8.3000000000000007</v>
      </c>
      <c r="MP33" s="588"/>
      <c r="MQ33" s="50"/>
      <c r="MR33" s="330" t="s">
        <v>1200</v>
      </c>
      <c r="MS33" s="62">
        <f>SUM(MU6:MU8)</f>
        <v>4360.08</v>
      </c>
      <c r="MT33" s="604" t="s">
        <v>3475</v>
      </c>
      <c r="MU33" s="48">
        <v>73.14</v>
      </c>
      <c r="MV33" s="612" t="s">
        <v>3470</v>
      </c>
      <c r="MW33" s="50">
        <v>40000</v>
      </c>
      <c r="MX33" s="652" t="s">
        <v>3504</v>
      </c>
      <c r="MY33" s="48">
        <f>SUM(NA25:NA32)</f>
        <v>1888.1499999999999</v>
      </c>
      <c r="MZ33" s="49" t="s">
        <v>3531</v>
      </c>
      <c r="NA33" s="62">
        <f>16+9</f>
        <v>25</v>
      </c>
      <c r="NB33" s="643" t="s">
        <v>3530</v>
      </c>
      <c r="NC33" s="48">
        <v>215.8</v>
      </c>
      <c r="ND33" s="160" t="s">
        <v>3543</v>
      </c>
      <c r="NE33" s="62">
        <f>SUM(NG7)</f>
        <v>0</v>
      </c>
      <c r="NF33" s="652" t="s">
        <v>3541</v>
      </c>
      <c r="NH33" s="673" t="s">
        <v>3557</v>
      </c>
      <c r="NI33" s="48">
        <f>30+1300</f>
        <v>1330</v>
      </c>
    </row>
    <row r="34" spans="1:375">
      <c r="F34" s="58"/>
      <c r="K34" s="73" t="s">
        <v>2694</v>
      </c>
      <c r="L34" s="73">
        <v>76</v>
      </c>
      <c r="N34" s="14"/>
      <c r="Q34" s="72" t="s">
        <v>2092</v>
      </c>
      <c r="R34" s="14">
        <v>100.01</v>
      </c>
      <c r="T34" s="14"/>
      <c r="W34" s="77" t="s">
        <v>2695</v>
      </c>
      <c r="X34" s="77">
        <v>65</v>
      </c>
      <c r="AF34" s="14"/>
      <c r="AL34" s="14"/>
      <c r="AO34" s="84" t="s">
        <v>2696</v>
      </c>
      <c r="AP34" s="14">
        <v>50.28</v>
      </c>
      <c r="AR34" s="14"/>
      <c r="AX34" s="14"/>
      <c r="BB34" s="14"/>
      <c r="BE34" s="83" t="s">
        <v>2697</v>
      </c>
      <c r="BF34" s="14">
        <f>5+5</f>
        <v>10</v>
      </c>
      <c r="BG34" s="14" t="s">
        <v>2698</v>
      </c>
      <c r="BH34" s="14"/>
      <c r="BN34" s="14"/>
      <c r="BQ34" s="49" t="s">
        <v>2699</v>
      </c>
      <c r="BR34" s="49">
        <f>950+20+20+12</f>
        <v>1002</v>
      </c>
      <c r="BW34" s="49" t="s">
        <v>2700</v>
      </c>
      <c r="BX34" s="49" t="s">
        <v>2647</v>
      </c>
      <c r="CC34" s="49" t="s">
        <v>2701</v>
      </c>
      <c r="CD34" s="49">
        <v>72.5</v>
      </c>
      <c r="CO34" s="49" t="s">
        <v>2702</v>
      </c>
      <c r="CP34" s="89">
        <f>28.9+35</f>
        <v>63.9</v>
      </c>
      <c r="CV34" s="89"/>
      <c r="CW34" s="66"/>
      <c r="DA34" s="127" t="s">
        <v>2703</v>
      </c>
      <c r="DB34" s="127"/>
      <c r="DC34" s="82" t="s">
        <v>2489</v>
      </c>
      <c r="DE34" s="66" t="s">
        <v>2704</v>
      </c>
      <c r="DF34" s="49">
        <f>17663-17242</f>
        <v>421</v>
      </c>
      <c r="DG34" s="93" t="s">
        <v>2143</v>
      </c>
      <c r="DH34" s="62">
        <f>64+32</f>
        <v>96</v>
      </c>
      <c r="DI34" s="21" t="s">
        <v>1871</v>
      </c>
      <c r="DJ34" s="97">
        <v>5000</v>
      </c>
      <c r="DM34" s="123" t="s">
        <v>2705</v>
      </c>
      <c r="DN34" s="62">
        <v>42.37</v>
      </c>
      <c r="DO34" s="564" t="s">
        <v>372</v>
      </c>
      <c r="DS34" s="123" t="s">
        <v>2706</v>
      </c>
      <c r="DT34" s="62">
        <f>6.9+70.45</f>
        <v>77.350000000000009</v>
      </c>
      <c r="DV34" s="61"/>
      <c r="DY34" s="14" t="s">
        <v>2707</v>
      </c>
      <c r="DZ34" s="14">
        <v>60.2</v>
      </c>
      <c r="EA34" s="564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4"/>
      <c r="FA34" s="96"/>
      <c r="FD34" s="54" t="s">
        <v>2709</v>
      </c>
      <c r="FE34" s="54"/>
      <c r="FF34" s="74" t="s">
        <v>2710</v>
      </c>
      <c r="FG34" s="62">
        <v>30</v>
      </c>
      <c r="FJ34" s="155" t="s">
        <v>2711</v>
      </c>
      <c r="FK34" s="21"/>
      <c r="FL34" s="54" t="s">
        <v>1867</v>
      </c>
      <c r="FM34" s="99" t="s">
        <v>1812</v>
      </c>
      <c r="FP34" s="152" t="s">
        <v>2712</v>
      </c>
      <c r="FQ34" s="14">
        <v>7</v>
      </c>
      <c r="FR34" s="74" t="s">
        <v>2713</v>
      </c>
      <c r="FS34" s="102">
        <v>-738</v>
      </c>
      <c r="FV34" s="155" t="s">
        <v>2714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2715</v>
      </c>
      <c r="GI34" s="157"/>
      <c r="GJ34" s="74" t="s">
        <v>2665</v>
      </c>
      <c r="GK34" s="102">
        <v>20</v>
      </c>
      <c r="GN34" s="152" t="s">
        <v>2716</v>
      </c>
      <c r="GO34" s="14">
        <v>23.9</v>
      </c>
      <c r="GP34" s="74" t="s">
        <v>2717</v>
      </c>
      <c r="GQ34" s="102">
        <v>298</v>
      </c>
      <c r="GT34" s="170">
        <v>280</v>
      </c>
      <c r="GU34" s="177"/>
      <c r="GV34" s="14" t="s">
        <v>2555</v>
      </c>
      <c r="GZ34" s="152" t="s">
        <v>2718</v>
      </c>
      <c r="HA34" s="14">
        <v>64.86</v>
      </c>
      <c r="HB34" s="74" t="s">
        <v>2669</v>
      </c>
      <c r="HC34" s="106">
        <v>22.5</v>
      </c>
      <c r="HF34" s="181">
        <v>40</v>
      </c>
      <c r="HG34" s="155" t="s">
        <v>2467</v>
      </c>
      <c r="HL34" s="203">
        <v>6</v>
      </c>
      <c r="HM34" s="155" t="s">
        <v>2719</v>
      </c>
      <c r="HP34" s="152" t="s">
        <v>2512</v>
      </c>
      <c r="HR34" s="203">
        <v>4</v>
      </c>
      <c r="HS34" s="155" t="s">
        <v>2720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2721</v>
      </c>
      <c r="IE34" s="14">
        <v>40.840000000000003</v>
      </c>
      <c r="IF34" s="14" t="s">
        <v>372</v>
      </c>
      <c r="IH34" s="193"/>
      <c r="II34" s="211"/>
      <c r="IJ34" s="152" t="s">
        <v>2722</v>
      </c>
      <c r="IK34" s="14">
        <v>84.86</v>
      </c>
      <c r="IL34" s="14" t="s">
        <v>2622</v>
      </c>
      <c r="IN34" s="77" t="s">
        <v>1246</v>
      </c>
      <c r="IO34" s="96">
        <f>SUM(IQ12:IQ12)</f>
        <v>1833.7466666666667</v>
      </c>
      <c r="IP34" s="49" t="s">
        <v>2259</v>
      </c>
      <c r="IQ34" s="51">
        <f>102+308+94+155</f>
        <v>659</v>
      </c>
      <c r="IR34" s="14" t="s">
        <v>2622</v>
      </c>
      <c r="IU34" s="232"/>
      <c r="IV34" s="74" t="s">
        <v>2723</v>
      </c>
      <c r="IW34" s="14">
        <v>8.67</v>
      </c>
      <c r="IZ34" s="152" t="s">
        <v>2428</v>
      </c>
      <c r="JA34" s="50">
        <f>SUM(JC26:JC34)</f>
        <v>354.85099999999994</v>
      </c>
      <c r="JB34" s="152" t="s">
        <v>2724</v>
      </c>
      <c r="JC34" s="48">
        <v>55</v>
      </c>
      <c r="JF34" s="152" t="s">
        <v>2476</v>
      </c>
      <c r="JG34" s="50">
        <f>SUM(JI27:JI31)</f>
        <v>303.64</v>
      </c>
      <c r="JH34" s="201">
        <v>23.04</v>
      </c>
      <c r="JI34" s="51"/>
      <c r="JJ34" s="14" t="s">
        <v>2573</v>
      </c>
      <c r="JN34" s="203">
        <v>50</v>
      </c>
      <c r="JO34" s="243" t="s">
        <v>2725</v>
      </c>
      <c r="JR34" s="157" t="s">
        <v>2726</v>
      </c>
      <c r="JS34" s="170">
        <v>100</v>
      </c>
      <c r="JT34" s="203">
        <v>10</v>
      </c>
      <c r="JU34" s="243" t="s">
        <v>2727</v>
      </c>
      <c r="JZ34" s="152" t="s">
        <v>2728</v>
      </c>
      <c r="KA34" s="48">
        <f>80+115</f>
        <v>195</v>
      </c>
      <c r="KD34" s="152" t="s">
        <v>2428</v>
      </c>
      <c r="KE34" s="50">
        <f>SUM(KG18:KG26)</f>
        <v>457.56100000000004</v>
      </c>
      <c r="KF34" s="203">
        <v>6</v>
      </c>
      <c r="KG34" s="243" t="s">
        <v>2729</v>
      </c>
      <c r="KH34" s="74" t="s">
        <v>2730</v>
      </c>
      <c r="KI34" s="14">
        <v>104</v>
      </c>
      <c r="KL34" s="152" t="s">
        <v>2731</v>
      </c>
      <c r="KM34" s="106">
        <v>121.7</v>
      </c>
      <c r="KN34" s="74" t="s">
        <v>2732</v>
      </c>
      <c r="KO34" s="48">
        <v>52.8</v>
      </c>
      <c r="KR34" s="152" t="s">
        <v>2536</v>
      </c>
      <c r="KS34" s="106">
        <v>60.23</v>
      </c>
      <c r="KT34" s="74"/>
      <c r="KU34" s="48"/>
      <c r="KV34" s="66"/>
      <c r="KX34" s="152" t="s">
        <v>2733</v>
      </c>
      <c r="KY34" s="48">
        <v>10</v>
      </c>
      <c r="KZ34" s="74" t="s">
        <v>2686</v>
      </c>
      <c r="LD34" s="152" t="s">
        <v>2734</v>
      </c>
      <c r="LE34" s="48">
        <f>530+3</f>
        <v>533</v>
      </c>
      <c r="LF34" s="74" t="s">
        <v>2735</v>
      </c>
      <c r="LH34" s="93" t="s">
        <v>2736</v>
      </c>
      <c r="LI34" s="239">
        <f>SUM(LK17:LK19)</f>
        <v>685.72</v>
      </c>
      <c r="LJ34" s="152" t="s">
        <v>2737</v>
      </c>
      <c r="LK34" s="106">
        <v>50.36</v>
      </c>
      <c r="LL34" s="70" t="s">
        <v>2533</v>
      </c>
      <c r="LM34" s="48">
        <v>28.82</v>
      </c>
      <c r="LN34" s="160" t="s">
        <v>2687</v>
      </c>
      <c r="LO34" s="48">
        <f>SUM(LQ15:LQ18)</f>
        <v>1348.41</v>
      </c>
      <c r="LP34" s="152" t="s">
        <v>2738</v>
      </c>
      <c r="LQ34" s="106">
        <v>32</v>
      </c>
      <c r="LT34" s="300" t="s">
        <v>2630</v>
      </c>
      <c r="LU34" s="48">
        <f>SUM(LW12:LW12)</f>
        <v>330.77</v>
      </c>
      <c r="LV34" s="49" t="s">
        <v>2382</v>
      </c>
      <c r="LW34" s="51">
        <f>143+128+130+21+118</f>
        <v>540</v>
      </c>
      <c r="LX34" s="70"/>
      <c r="LY34" s="50"/>
      <c r="LZ34" s="160" t="s">
        <v>2587</v>
      </c>
      <c r="MA34" s="62">
        <f>SUM(MC7:MC7)</f>
        <v>2000</v>
      </c>
      <c r="MB34" s="120" t="s">
        <v>2739</v>
      </c>
      <c r="MC34" s="62">
        <v>34.799999999999997</v>
      </c>
      <c r="MD34" s="74" t="s">
        <v>2686</v>
      </c>
      <c r="MF34" s="320"/>
      <c r="MG34" s="320"/>
      <c r="MH34" s="326" t="s">
        <v>2740</v>
      </c>
      <c r="MI34" s="48">
        <v>99.76</v>
      </c>
      <c r="MJ34" s="70"/>
      <c r="MK34" s="50"/>
      <c r="ML34" s="52" t="s">
        <v>2221</v>
      </c>
      <c r="MM34" s="312"/>
      <c r="MN34" s="326" t="s">
        <v>2627</v>
      </c>
      <c r="MO34" s="48">
        <v>30.5</v>
      </c>
      <c r="MP34" s="583"/>
      <c r="MR34" s="160" t="s">
        <v>3543</v>
      </c>
      <c r="MS34" s="62">
        <f>SUM(MU9:MU11)</f>
        <v>10236.619999999999</v>
      </c>
      <c r="MT34" s="605" t="s">
        <v>3445</v>
      </c>
      <c r="MU34" s="48">
        <f>250.7+749.38</f>
        <v>1000.0799999999999</v>
      </c>
      <c r="MV34" s="597" t="s">
        <v>3478</v>
      </c>
      <c r="MW34" s="597">
        <v>1000</v>
      </c>
      <c r="MX34" s="326" t="s">
        <v>2428</v>
      </c>
      <c r="MY34" s="590">
        <f>SUM(NA15:NA24)</f>
        <v>402.87099999999998</v>
      </c>
      <c r="MZ34" s="654" t="s">
        <v>2382</v>
      </c>
      <c r="NA34" s="51">
        <f>187+150+349</f>
        <v>686</v>
      </c>
      <c r="NB34" s="646" t="s">
        <v>2686</v>
      </c>
      <c r="ND34" s="49" t="s">
        <v>2630</v>
      </c>
      <c r="NE34" s="48">
        <f>SUM(NG8:NG8)</f>
        <v>0</v>
      </c>
      <c r="NF34" s="49" t="s">
        <v>3531</v>
      </c>
      <c r="NG34" s="62"/>
      <c r="NH34" s="673" t="s">
        <v>3558</v>
      </c>
      <c r="NI34" s="48">
        <v>30</v>
      </c>
    </row>
    <row r="35" spans="1:375" ht="14.25" customHeight="1">
      <c r="A35" s="737"/>
      <c r="B35" s="737"/>
      <c r="E35" s="570" t="s">
        <v>493</v>
      </c>
      <c r="F35" s="58">
        <v>250</v>
      </c>
      <c r="G35" s="737"/>
      <c r="H35" s="737"/>
      <c r="W35" s="77" t="s">
        <v>2742</v>
      </c>
      <c r="X35" s="77">
        <v>20.001000000000001</v>
      </c>
      <c r="Z35" s="14"/>
      <c r="AO35" s="83" t="s">
        <v>2743</v>
      </c>
      <c r="AP35" s="14">
        <v>26.26</v>
      </c>
      <c r="AU35" s="14" t="s">
        <v>2744</v>
      </c>
      <c r="AV35" s="14">
        <v>80</v>
      </c>
      <c r="BE35" s="83" t="s">
        <v>2745</v>
      </c>
      <c r="BF35" s="14">
        <v>95</v>
      </c>
      <c r="BK35" s="49" t="s">
        <v>2746</v>
      </c>
      <c r="BL35" s="49">
        <v>200</v>
      </c>
      <c r="BW35" s="49" t="s">
        <v>2747</v>
      </c>
      <c r="BX35" s="49">
        <v>65</v>
      </c>
      <c r="CC35" s="49" t="s">
        <v>2748</v>
      </c>
      <c r="CD35" s="49">
        <v>83.85</v>
      </c>
      <c r="CI35" s="49" t="s">
        <v>2749</v>
      </c>
      <c r="CJ35" s="89">
        <v>46.65</v>
      </c>
      <c r="CK35" s="109"/>
      <c r="CO35" s="49" t="s">
        <v>2750</v>
      </c>
      <c r="CP35" s="49">
        <f>11.3+50.4</f>
        <v>61.7</v>
      </c>
      <c r="CQ35" s="109"/>
      <c r="CU35" s="49" t="s">
        <v>2751</v>
      </c>
      <c r="CV35" s="107">
        <v>412.25</v>
      </c>
      <c r="CW35" s="74" t="s">
        <v>2573</v>
      </c>
      <c r="DA35" s="127" t="s">
        <v>2752</v>
      </c>
      <c r="DB35" s="127"/>
      <c r="DC35" s="66" t="s">
        <v>363</v>
      </c>
      <c r="DE35" s="66" t="s">
        <v>2753</v>
      </c>
      <c r="DF35" s="49">
        <f>46147-45991</f>
        <v>156</v>
      </c>
      <c r="DG35" s="93" t="s">
        <v>2754</v>
      </c>
      <c r="DH35" s="62">
        <f>16.98+17.17+13.1+13.72+14.74+13.83</f>
        <v>89.54</v>
      </c>
      <c r="DI35" s="21" t="s">
        <v>2755</v>
      </c>
      <c r="DJ35" s="97">
        <v>5000</v>
      </c>
      <c r="DM35" s="123"/>
      <c r="DN35" s="62"/>
      <c r="DO35" s="564" t="s">
        <v>2553</v>
      </c>
      <c r="DP35" s="105"/>
      <c r="DS35" s="123" t="s">
        <v>2562</v>
      </c>
      <c r="DT35" s="62">
        <v>68.97</v>
      </c>
      <c r="DU35" s="564" t="s">
        <v>372</v>
      </c>
      <c r="DY35" s="109" t="s">
        <v>2756</v>
      </c>
      <c r="DZ35" s="14">
        <f>1379-100</f>
        <v>1279</v>
      </c>
      <c r="EA35" s="14" t="s">
        <v>197</v>
      </c>
      <c r="EG35" s="54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4" t="s">
        <v>2758</v>
      </c>
      <c r="EY35" s="54">
        <v>202.2</v>
      </c>
      <c r="FD35" s="54" t="s">
        <v>2759</v>
      </c>
      <c r="FE35" s="54">
        <v>10.000999999999999</v>
      </c>
      <c r="FF35" s="74" t="s">
        <v>2760</v>
      </c>
      <c r="FG35" s="62">
        <v>67.400000000000006</v>
      </c>
      <c r="FJ35" s="66" t="s">
        <v>2761</v>
      </c>
      <c r="FK35" s="14">
        <v>720</v>
      </c>
      <c r="FL35" s="54" t="s">
        <v>2408</v>
      </c>
      <c r="FM35" s="99">
        <v>10005</v>
      </c>
      <c r="FP35" s="152" t="s">
        <v>2762</v>
      </c>
      <c r="FQ35" s="14">
        <v>49.23</v>
      </c>
      <c r="FR35" s="74"/>
      <c r="FS35" s="102"/>
      <c r="FV35" s="155" t="s">
        <v>2763</v>
      </c>
      <c r="FW35" s="157"/>
      <c r="FX35" s="14" t="s">
        <v>372</v>
      </c>
      <c r="GB35" s="157" t="s">
        <v>2764</v>
      </c>
      <c r="GC35" s="157"/>
      <c r="GH35" s="155" t="s">
        <v>2765</v>
      </c>
      <c r="GI35" s="157"/>
      <c r="GJ35" s="74" t="s">
        <v>2766</v>
      </c>
      <c r="GK35" s="102">
        <v>20</v>
      </c>
      <c r="GN35" s="152" t="s">
        <v>2767</v>
      </c>
      <c r="GO35" s="14">
        <v>95</v>
      </c>
      <c r="GT35" s="157" t="s">
        <v>2768</v>
      </c>
      <c r="GU35" s="171">
        <f>GQ17+GT34-GW16</f>
        <v>262</v>
      </c>
      <c r="GV35" s="14" t="s">
        <v>197</v>
      </c>
      <c r="GZ35" s="152" t="s">
        <v>2769</v>
      </c>
      <c r="HA35" s="14">
        <v>32.6</v>
      </c>
      <c r="HB35" s="74" t="s">
        <v>2770</v>
      </c>
      <c r="HC35" s="106">
        <v>233.71</v>
      </c>
      <c r="HF35" s="181">
        <v>40</v>
      </c>
      <c r="HG35" s="155" t="s">
        <v>2513</v>
      </c>
      <c r="HH35" s="14" t="s">
        <v>372</v>
      </c>
      <c r="HL35" s="187" t="s">
        <v>2771</v>
      </c>
      <c r="HM35" s="165">
        <v>24.7</v>
      </c>
      <c r="HQ35" s="154"/>
      <c r="HR35" s="203">
        <v>40</v>
      </c>
      <c r="HS35" s="155" t="s">
        <v>2467</v>
      </c>
      <c r="HT35" s="187"/>
      <c r="HU35" s="102"/>
      <c r="HV35" s="155" t="s">
        <v>2772</v>
      </c>
      <c r="HW35" s="170">
        <v>220</v>
      </c>
      <c r="HX35" s="177" t="s">
        <v>2477</v>
      </c>
      <c r="HY35" s="202">
        <f>HU24+HW35-IA28</f>
        <v>320</v>
      </c>
      <c r="HZ35" s="54" t="s">
        <v>1935</v>
      </c>
      <c r="IA35" s="99">
        <v>2000</v>
      </c>
      <c r="ID35" s="152" t="s">
        <v>2773</v>
      </c>
      <c r="IE35" s="14">
        <v>47.96</v>
      </c>
      <c r="IF35" s="14" t="s">
        <v>197</v>
      </c>
      <c r="IH35" s="193"/>
      <c r="II35" s="211"/>
      <c r="IJ35" s="152" t="s">
        <v>2774</v>
      </c>
      <c r="IK35" s="14">
        <v>56.9</v>
      </c>
      <c r="IL35" s="14" t="s">
        <v>2555</v>
      </c>
      <c r="IN35" s="174" t="s">
        <v>1237</v>
      </c>
      <c r="IO35" s="50">
        <v>0</v>
      </c>
      <c r="IP35" s="201">
        <v>44.08</v>
      </c>
      <c r="IQ35" s="51"/>
      <c r="IR35" s="14" t="s">
        <v>2555</v>
      </c>
      <c r="IU35" s="234"/>
      <c r="IV35" s="74" t="s">
        <v>2723</v>
      </c>
      <c r="IW35" s="106">
        <v>23.08</v>
      </c>
      <c r="IZ35" s="152" t="s">
        <v>2476</v>
      </c>
      <c r="JA35" s="50">
        <f>SUM(JC28:JC34)</f>
        <v>337.85099999999994</v>
      </c>
      <c r="JB35" s="14" t="s">
        <v>2775</v>
      </c>
      <c r="JC35" s="62">
        <v>16.87</v>
      </c>
      <c r="JH35" s="177" t="s">
        <v>2477</v>
      </c>
      <c r="JI35" s="202">
        <f>JE21+JG37-JK22</f>
        <v>100</v>
      </c>
      <c r="JL35" s="155" t="s">
        <v>2776</v>
      </c>
      <c r="JM35" s="170">
        <f>50+400+200+100</f>
        <v>750</v>
      </c>
      <c r="JN35" s="203">
        <v>9</v>
      </c>
      <c r="JO35" s="243" t="s">
        <v>2777</v>
      </c>
      <c r="JP35" s="14" t="s">
        <v>372</v>
      </c>
      <c r="JT35" s="203">
        <v>10</v>
      </c>
      <c r="JU35" s="243" t="s">
        <v>2778</v>
      </c>
      <c r="JZ35" s="152" t="s">
        <v>2779</v>
      </c>
      <c r="KA35" s="48">
        <v>175</v>
      </c>
      <c r="KD35" s="152" t="s">
        <v>2575</v>
      </c>
      <c r="KE35" s="262">
        <f>SUM(KG20:KG26)</f>
        <v>339.56</v>
      </c>
      <c r="KF35" s="203">
        <v>25.9</v>
      </c>
      <c r="KG35" s="243" t="s">
        <v>2780</v>
      </c>
      <c r="KH35" s="74" t="s">
        <v>2218</v>
      </c>
      <c r="KJ35" s="52" t="s">
        <v>2221</v>
      </c>
      <c r="KK35" s="52"/>
      <c r="KL35" s="14" t="s">
        <v>2781</v>
      </c>
      <c r="KM35" s="62">
        <v>400</v>
      </c>
      <c r="KN35" s="74" t="s">
        <v>2782</v>
      </c>
      <c r="KO35" s="48">
        <v>57.6</v>
      </c>
      <c r="KP35" s="52" t="s">
        <v>2221</v>
      </c>
      <c r="KQ35" s="52"/>
      <c r="KR35" s="152" t="s">
        <v>2783</v>
      </c>
      <c r="KS35" s="106">
        <v>40.4</v>
      </c>
      <c r="KT35" s="74" t="s">
        <v>2686</v>
      </c>
      <c r="KX35" s="152" t="s">
        <v>2784</v>
      </c>
      <c r="KY35" s="48">
        <v>13.5</v>
      </c>
      <c r="KZ35" s="74" t="s">
        <v>2785</v>
      </c>
      <c r="LA35" s="54"/>
      <c r="LB35" s="52" t="s">
        <v>2221</v>
      </c>
      <c r="LC35" s="52"/>
      <c r="LD35" s="152" t="s">
        <v>2786</v>
      </c>
      <c r="LE35" s="48">
        <v>42.9</v>
      </c>
      <c r="LF35" s="14" t="s">
        <v>372</v>
      </c>
      <c r="LH35" s="293" t="s">
        <v>2678</v>
      </c>
      <c r="LI35" s="50">
        <f>SUM(LK21:LK27)</f>
        <v>648.76</v>
      </c>
      <c r="LJ35" s="152" t="s">
        <v>2787</v>
      </c>
      <c r="LK35" s="106">
        <v>172.3</v>
      </c>
      <c r="LL35" s="70" t="s">
        <v>2788</v>
      </c>
      <c r="LM35" s="48">
        <v>21.1</v>
      </c>
      <c r="LN35" s="93" t="s">
        <v>2789</v>
      </c>
      <c r="LO35" s="254">
        <f>SUM(LQ19:LQ20)</f>
        <v>168.17</v>
      </c>
      <c r="LP35" s="152" t="s">
        <v>2627</v>
      </c>
      <c r="LQ35" s="106">
        <v>36.799999999999997</v>
      </c>
      <c r="LT35" s="322" t="s">
        <v>2687</v>
      </c>
      <c r="LU35" s="48">
        <f>SUM(LW13:LW15)</f>
        <v>1500.08</v>
      </c>
      <c r="LV35" s="201">
        <v>31.86</v>
      </c>
      <c r="LW35" s="51"/>
      <c r="LZ35" s="152" t="s">
        <v>2678</v>
      </c>
      <c r="MA35" s="48">
        <f>SUM(MC8:MC14)</f>
        <v>724.87</v>
      </c>
      <c r="MB35" s="49" t="s">
        <v>2691</v>
      </c>
      <c r="MC35" s="106">
        <f>17</f>
        <v>17</v>
      </c>
      <c r="MD35" s="74" t="s">
        <v>2790</v>
      </c>
      <c r="MF35" s="320"/>
      <c r="MG35" s="320"/>
      <c r="MH35" s="326" t="s">
        <v>2791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3418</v>
      </c>
      <c r="MO35" s="48">
        <v>28.74</v>
      </c>
      <c r="MR35" s="49" t="s">
        <v>2630</v>
      </c>
      <c r="MS35" s="48">
        <v>0</v>
      </c>
      <c r="MT35" s="605" t="s">
        <v>3451</v>
      </c>
      <c r="MU35" s="48">
        <v>354.25</v>
      </c>
      <c r="MV35" s="602" t="s">
        <v>2276</v>
      </c>
      <c r="MW35" s="48"/>
      <c r="MX35" s="326" t="s">
        <v>2575</v>
      </c>
      <c r="MY35" s="315">
        <f>SUM(NA19:NA24)</f>
        <v>272.87</v>
      </c>
      <c r="MZ35" s="331">
        <v>26.16</v>
      </c>
      <c r="NA35" s="51" t="s">
        <v>3552</v>
      </c>
      <c r="NB35" s="646" t="s">
        <v>3535</v>
      </c>
      <c r="ND35" s="152" t="s">
        <v>2678</v>
      </c>
      <c r="NE35" s="48">
        <f>SUM(NG9:NG15)</f>
        <v>310.45000000000005</v>
      </c>
      <c r="NF35" s="654" t="s">
        <v>2382</v>
      </c>
      <c r="NG35" s="51">
        <f>42</f>
        <v>42</v>
      </c>
      <c r="NH35" s="672"/>
      <c r="NI35" s="48"/>
    </row>
    <row r="36" spans="1:375" ht="14.25" customHeight="1">
      <c r="B36" s="14"/>
      <c r="H36" s="14"/>
      <c r="K36" s="73" t="s">
        <v>2792</v>
      </c>
      <c r="L36" s="73">
        <f>1070+321</f>
        <v>1391</v>
      </c>
      <c r="Q36" s="73" t="s">
        <v>2588</v>
      </c>
      <c r="R36" s="73">
        <v>0</v>
      </c>
      <c r="W36" s="77" t="s">
        <v>2793</v>
      </c>
      <c r="X36" s="77">
        <f>10+5</f>
        <v>15</v>
      </c>
      <c r="AO36" s="83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9" t="s">
        <v>2796</v>
      </c>
      <c r="BL36" s="49">
        <v>400</v>
      </c>
      <c r="BQ36" s="49" t="s">
        <v>2797</v>
      </c>
      <c r="BR36" s="49">
        <v>300</v>
      </c>
      <c r="BW36" s="49" t="s">
        <v>2798</v>
      </c>
      <c r="BX36" s="49">
        <v>32.299999999999997</v>
      </c>
      <c r="CC36" s="49" t="s">
        <v>2799</v>
      </c>
      <c r="CD36" s="49">
        <v>535</v>
      </c>
      <c r="CI36" s="49" t="s">
        <v>2800</v>
      </c>
      <c r="CJ36" s="49">
        <v>39</v>
      </c>
      <c r="CO36" s="49" t="s">
        <v>2801</v>
      </c>
      <c r="CP36" s="49">
        <v>28.85</v>
      </c>
      <c r="CU36" s="49" t="s">
        <v>2802</v>
      </c>
      <c r="CV36" s="49">
        <v>33</v>
      </c>
      <c r="DA36" s="127"/>
      <c r="DB36" s="127"/>
      <c r="DC36" s="74" t="s">
        <v>2573</v>
      </c>
      <c r="DE36" s="66" t="s">
        <v>2803</v>
      </c>
      <c r="DF36" s="49">
        <v>348.15</v>
      </c>
      <c r="DG36" s="123" t="s">
        <v>2804</v>
      </c>
      <c r="DH36" s="62">
        <v>72.33</v>
      </c>
      <c r="DI36" s="21" t="s">
        <v>2350</v>
      </c>
      <c r="DJ36" s="22">
        <v>10000</v>
      </c>
      <c r="DM36" s="126" t="s">
        <v>2805</v>
      </c>
      <c r="DN36" s="128">
        <f>DJ16+DM38-DP13</f>
        <v>169.99999999999997</v>
      </c>
      <c r="DO36" s="564" t="s">
        <v>2333</v>
      </c>
      <c r="DP36" s="62"/>
      <c r="DS36" s="738" t="s">
        <v>2149</v>
      </c>
      <c r="DT36" s="739"/>
      <c r="DU36" s="564" t="s">
        <v>2553</v>
      </c>
      <c r="DV36" s="105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4" t="s">
        <v>2809</v>
      </c>
      <c r="ES36" s="54">
        <v>110</v>
      </c>
      <c r="ET36" s="14" t="s">
        <v>2553</v>
      </c>
      <c r="EX36" s="54" t="s">
        <v>2810</v>
      </c>
      <c r="EY36" s="54">
        <v>22.4</v>
      </c>
      <c r="EZ36" s="14" t="s">
        <v>372</v>
      </c>
      <c r="FD36" s="66" t="s">
        <v>2811</v>
      </c>
      <c r="FE36" s="54">
        <v>19.36</v>
      </c>
      <c r="FF36" s="74" t="s">
        <v>2812</v>
      </c>
      <c r="FG36" s="62">
        <v>87</v>
      </c>
      <c r="FJ36" s="54" t="s">
        <v>2813</v>
      </c>
      <c r="FK36" s="54">
        <f>58.1+1.5</f>
        <v>59.6</v>
      </c>
      <c r="FL36" s="54" t="s">
        <v>2455</v>
      </c>
      <c r="FM36" s="99">
        <v>0</v>
      </c>
      <c r="FP36" s="152" t="s">
        <v>2814</v>
      </c>
      <c r="FQ36" s="14">
        <v>80</v>
      </c>
      <c r="FR36" s="14" t="s">
        <v>372</v>
      </c>
      <c r="FV36" s="66" t="s">
        <v>2815</v>
      </c>
      <c r="FW36" s="14">
        <v>9.9</v>
      </c>
      <c r="FX36" s="14" t="s">
        <v>2555</v>
      </c>
      <c r="GB36" s="155" t="s">
        <v>2418</v>
      </c>
      <c r="GC36" s="157"/>
      <c r="GH36" s="155" t="s">
        <v>2816</v>
      </c>
      <c r="GI36" s="157"/>
      <c r="GJ36" s="74" t="s">
        <v>2766</v>
      </c>
      <c r="GK36" s="66">
        <v>63.6</v>
      </c>
      <c r="GN36" s="152" t="s">
        <v>2817</v>
      </c>
      <c r="GO36" s="14">
        <v>63.06</v>
      </c>
      <c r="GP36" s="14" t="s">
        <v>2818</v>
      </c>
      <c r="GT36" s="180">
        <v>71.8</v>
      </c>
      <c r="GU36" s="155" t="s">
        <v>2819</v>
      </c>
      <c r="GV36" s="14" t="s">
        <v>2446</v>
      </c>
      <c r="GZ36" s="152" t="s">
        <v>2820</v>
      </c>
      <c r="HA36" s="14">
        <v>40.479999999999997</v>
      </c>
      <c r="HB36" s="74" t="s">
        <v>2821</v>
      </c>
      <c r="HC36" s="106">
        <v>71</v>
      </c>
      <c r="HF36" s="181">
        <v>50</v>
      </c>
      <c r="HG36" s="155" t="s">
        <v>2418</v>
      </c>
      <c r="HH36" s="14" t="s">
        <v>2555</v>
      </c>
      <c r="HL36" s="187" t="s">
        <v>2822</v>
      </c>
      <c r="HM36" s="204">
        <v>20760</v>
      </c>
      <c r="HP36" s="155" t="s">
        <v>2823</v>
      </c>
      <c r="HQ36" s="170">
        <v>100</v>
      </c>
      <c r="HR36" s="203">
        <v>20</v>
      </c>
      <c r="HS36" s="155" t="s">
        <v>2824</v>
      </c>
      <c r="HT36" s="188"/>
      <c r="HU36" s="102"/>
      <c r="HX36" s="203">
        <v>140</v>
      </c>
      <c r="HY36" s="155" t="s">
        <v>2825</v>
      </c>
      <c r="HZ36" s="54" t="s">
        <v>1995</v>
      </c>
      <c r="IA36" s="99">
        <v>4000</v>
      </c>
      <c r="IC36" s="232"/>
      <c r="ID36" s="14" t="s">
        <v>2212</v>
      </c>
      <c r="IE36" s="66">
        <v>52</v>
      </c>
      <c r="IH36" s="193"/>
      <c r="II36" s="211"/>
      <c r="IJ36" s="152" t="s">
        <v>2826</v>
      </c>
      <c r="IK36" s="14">
        <v>47.08</v>
      </c>
      <c r="IL36" s="14" t="s">
        <v>2573</v>
      </c>
      <c r="IN36" s="162" t="s">
        <v>2307</v>
      </c>
      <c r="IO36" s="50">
        <f>SUM(IQ10:IQ11)</f>
        <v>1105.4099999999999</v>
      </c>
      <c r="IP36" s="177" t="s">
        <v>2477</v>
      </c>
      <c r="IQ36" s="60">
        <f>IM23+IO40-IS19</f>
        <v>680</v>
      </c>
      <c r="IR36" s="14" t="s">
        <v>2573</v>
      </c>
      <c r="IV36" s="74" t="s">
        <v>2827</v>
      </c>
      <c r="IW36" s="106">
        <v>6.37</v>
      </c>
      <c r="JB36" s="49" t="s">
        <v>2259</v>
      </c>
      <c r="JC36" s="51">
        <f>204+76+114+103</f>
        <v>497</v>
      </c>
      <c r="JH36" s="203">
        <v>8</v>
      </c>
      <c r="JI36" s="243" t="s">
        <v>2828</v>
      </c>
      <c r="JN36" s="203">
        <v>10</v>
      </c>
      <c r="JO36" s="243" t="s">
        <v>2829</v>
      </c>
      <c r="JP36" s="14" t="s">
        <v>197</v>
      </c>
      <c r="JS36" s="232"/>
      <c r="JT36" s="14" t="s">
        <v>2830</v>
      </c>
      <c r="JU36" s="106">
        <v>139</v>
      </c>
      <c r="JZ36" s="152" t="s">
        <v>2831</v>
      </c>
      <c r="KA36" s="106">
        <v>10</v>
      </c>
      <c r="KD36" s="157" t="s">
        <v>2832</v>
      </c>
      <c r="KE36" s="289">
        <v>100</v>
      </c>
      <c r="KF36" s="290" t="s">
        <v>2833</v>
      </c>
      <c r="KG36" s="247">
        <v>70</v>
      </c>
      <c r="KH36" s="74" t="s">
        <v>2834</v>
      </c>
      <c r="KI36" s="50">
        <v>194</v>
      </c>
      <c r="KJ36" s="183" t="s">
        <v>1200</v>
      </c>
      <c r="KK36" s="96">
        <f>SUM(KM6:KM6)</f>
        <v>1900.1</v>
      </c>
      <c r="KL36" s="49" t="s">
        <v>2382</v>
      </c>
      <c r="KM36" s="51">
        <f>166+85+79+40</f>
        <v>370</v>
      </c>
      <c r="KN36" s="74" t="s">
        <v>2276</v>
      </c>
      <c r="KO36" s="48"/>
      <c r="KP36" s="183" t="s">
        <v>1200</v>
      </c>
      <c r="KQ36" s="96">
        <f>SUM(KS6:KS7)</f>
        <v>3900.1099999999997</v>
      </c>
      <c r="KR36" s="152" t="s">
        <v>2835</v>
      </c>
      <c r="KS36" s="106">
        <f>30.8+1.8+1</f>
        <v>33.6</v>
      </c>
      <c r="KT36" s="74" t="s">
        <v>2836</v>
      </c>
      <c r="KU36" s="54"/>
      <c r="KV36" s="66"/>
      <c r="KX36" s="152" t="s">
        <v>2837</v>
      </c>
      <c r="KY36" s="48">
        <f>12.5+36</f>
        <v>48.5</v>
      </c>
      <c r="KZ36" s="74" t="s">
        <v>1835</v>
      </c>
      <c r="LB36" s="183" t="s">
        <v>1200</v>
      </c>
      <c r="LC36" s="96">
        <f>SUM(LE7:LE9)</f>
        <v>9900.01</v>
      </c>
      <c r="LD36" s="152" t="s">
        <v>2838</v>
      </c>
      <c r="LE36" s="48">
        <v>36.9</v>
      </c>
      <c r="LF36" s="14" t="s">
        <v>2839</v>
      </c>
      <c r="LH36" s="152" t="s">
        <v>2428</v>
      </c>
      <c r="LI36" s="50">
        <f>SUM(LK28:LK37)</f>
        <v>481.59999999999997</v>
      </c>
      <c r="LJ36" s="152" t="s">
        <v>2840</v>
      </c>
      <c r="LK36" s="106">
        <v>37.4</v>
      </c>
      <c r="LL36" s="74" t="s">
        <v>2686</v>
      </c>
      <c r="LN36" s="293" t="s">
        <v>2678</v>
      </c>
      <c r="LO36" s="48">
        <f>SUM(LQ21:LQ28)</f>
        <v>953.54000000000008</v>
      </c>
      <c r="LP36" s="152" t="s">
        <v>2841</v>
      </c>
      <c r="LQ36" s="106">
        <v>38.9</v>
      </c>
      <c r="LT36" s="93" t="s">
        <v>2789</v>
      </c>
      <c r="LU36" s="254">
        <v>0</v>
      </c>
      <c r="LV36" s="177" t="s">
        <v>2477</v>
      </c>
      <c r="LW36" s="202">
        <f>LS24+LU41-LY25</f>
        <v>230</v>
      </c>
      <c r="LZ36" s="49" t="s">
        <v>2630</v>
      </c>
      <c r="MA36" s="48">
        <f>SUM(MC15:MC16)</f>
        <v>506.97</v>
      </c>
      <c r="MB36" s="49" t="s">
        <v>2382</v>
      </c>
      <c r="MC36" s="51">
        <f>36+167+36+137+168+192</f>
        <v>736</v>
      </c>
      <c r="MD36" s="14" t="s">
        <v>372</v>
      </c>
      <c r="MF36" s="320"/>
      <c r="MG36" s="320"/>
      <c r="MH36" s="326" t="s">
        <v>2842</v>
      </c>
      <c r="MI36" s="48">
        <v>45.5</v>
      </c>
      <c r="MJ36" s="70" t="s">
        <v>2276</v>
      </c>
      <c r="MK36" s="50"/>
      <c r="ML36" s="160" t="s">
        <v>2587</v>
      </c>
      <c r="MM36" s="62">
        <f>SUM(MO9:MO9)</f>
        <v>500</v>
      </c>
      <c r="MN36" s="326" t="s">
        <v>3419</v>
      </c>
      <c r="MO36" s="48">
        <v>31.53</v>
      </c>
      <c r="MQ36" s="50"/>
      <c r="MR36" s="152" t="s">
        <v>2678</v>
      </c>
      <c r="MS36" s="48">
        <f>SUM(MU12:MU20)</f>
        <v>909.65000000000009</v>
      </c>
      <c r="MT36" s="605" t="s">
        <v>1847</v>
      </c>
      <c r="MU36" s="48">
        <v>47.19</v>
      </c>
      <c r="MV36" s="600" t="s">
        <v>2123</v>
      </c>
      <c r="MZ36" s="177" t="s">
        <v>2477</v>
      </c>
      <c r="NA36" s="22">
        <f>MW28+MY37-NC27</f>
        <v>70</v>
      </c>
      <c r="NB36" s="643" t="s">
        <v>372</v>
      </c>
      <c r="ND36" s="652" t="s">
        <v>3504</v>
      </c>
      <c r="NE36" s="48">
        <f>SUM(NG26:NG33)</f>
        <v>0</v>
      </c>
      <c r="NF36" s="331">
        <v>40</v>
      </c>
      <c r="NG36" s="51"/>
      <c r="NH36" s="666" t="s">
        <v>2276</v>
      </c>
      <c r="NI36" s="50"/>
    </row>
    <row r="37" spans="1:375" ht="12.75" customHeight="1" thickBot="1">
      <c r="W37" s="77" t="s">
        <v>2642</v>
      </c>
      <c r="X37" s="77">
        <f>70+16</f>
        <v>86</v>
      </c>
      <c r="AO37" s="83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9" t="s">
        <v>2846</v>
      </c>
      <c r="BL37" s="49">
        <v>250</v>
      </c>
      <c r="BQ37" s="49" t="s">
        <v>2796</v>
      </c>
      <c r="BR37" s="49">
        <v>300</v>
      </c>
      <c r="CC37" s="49" t="s">
        <v>2847</v>
      </c>
      <c r="CD37" s="49">
        <v>180</v>
      </c>
      <c r="CI37" s="49" t="s">
        <v>2848</v>
      </c>
      <c r="CJ37" s="49">
        <v>58</v>
      </c>
      <c r="CO37" s="49" t="s">
        <v>2849</v>
      </c>
      <c r="CP37" s="49">
        <v>39</v>
      </c>
      <c r="CU37" s="49" t="s">
        <v>2850</v>
      </c>
      <c r="CV37" s="49">
        <v>10.000999999999999</v>
      </c>
      <c r="DA37" s="49" t="s">
        <v>2851</v>
      </c>
      <c r="DB37" s="66">
        <v>192.6</v>
      </c>
      <c r="DG37" s="123" t="s">
        <v>2852</v>
      </c>
      <c r="DH37" s="62">
        <v>127.12</v>
      </c>
      <c r="DI37" s="65"/>
      <c r="DJ37" s="134"/>
      <c r="DM37" s="136" t="s">
        <v>2853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4" t="s">
        <v>2799</v>
      </c>
      <c r="ES37" s="54">
        <v>749</v>
      </c>
      <c r="ET37" s="14" t="s">
        <v>197</v>
      </c>
      <c r="EX37" s="66" t="s">
        <v>2857</v>
      </c>
      <c r="EY37" s="14">
        <v>7</v>
      </c>
      <c r="EZ37" s="14" t="s">
        <v>2555</v>
      </c>
      <c r="FD37" s="66" t="s">
        <v>2811</v>
      </c>
      <c r="FE37" s="54">
        <v>14.08</v>
      </c>
      <c r="FF37" s="74" t="s">
        <v>2858</v>
      </c>
      <c r="FG37" s="62">
        <v>211</v>
      </c>
      <c r="FJ37" s="175" t="s">
        <v>2859</v>
      </c>
      <c r="FK37" s="54">
        <v>26.29</v>
      </c>
      <c r="FL37" s="82" t="s">
        <v>2298</v>
      </c>
      <c r="FM37" s="102"/>
      <c r="FP37" s="177" t="s">
        <v>2355</v>
      </c>
      <c r="FQ37" s="177"/>
      <c r="FR37" s="14" t="s">
        <v>2555</v>
      </c>
      <c r="FV37" s="175" t="s">
        <v>2860</v>
      </c>
      <c r="FW37" s="66">
        <v>127.1</v>
      </c>
      <c r="FX37" s="14" t="s">
        <v>197</v>
      </c>
      <c r="GB37" s="155" t="s">
        <v>2861</v>
      </c>
      <c r="GC37" s="157"/>
      <c r="GH37" s="155" t="s">
        <v>2504</v>
      </c>
      <c r="GI37" s="157"/>
      <c r="GJ37" s="74"/>
      <c r="GK37" s="102"/>
      <c r="GN37" s="152" t="s">
        <v>2562</v>
      </c>
      <c r="GO37" s="14">
        <v>67.8</v>
      </c>
      <c r="GP37" s="74" t="s">
        <v>2862</v>
      </c>
      <c r="GQ37" s="102"/>
      <c r="GT37" s="181">
        <v>80</v>
      </c>
      <c r="GU37" s="155" t="s">
        <v>2418</v>
      </c>
      <c r="GV37" s="14" t="s">
        <v>2573</v>
      </c>
      <c r="GZ37" s="152" t="s">
        <v>2804</v>
      </c>
      <c r="HA37" s="14">
        <v>49.98</v>
      </c>
      <c r="HF37" s="187" t="s">
        <v>2863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2625</v>
      </c>
      <c r="HT37" s="188"/>
      <c r="HU37" s="102"/>
      <c r="HX37" s="203">
        <v>40</v>
      </c>
      <c r="HY37" s="155" t="s">
        <v>2418</v>
      </c>
      <c r="HZ37" s="74" t="s">
        <v>2312</v>
      </c>
      <c r="IA37" s="102"/>
      <c r="IC37" s="232"/>
      <c r="ID37" s="49" t="s">
        <v>2259</v>
      </c>
      <c r="IE37" s="49">
        <v>453</v>
      </c>
      <c r="IH37" s="193"/>
      <c r="II37" s="211"/>
      <c r="IJ37" s="14" t="s">
        <v>2212</v>
      </c>
      <c r="IK37" s="66">
        <f>35+25+17.47+26.01</f>
        <v>103.48</v>
      </c>
      <c r="IN37" s="169" t="s">
        <v>2366</v>
      </c>
      <c r="IO37" s="50">
        <f>SUM(IQ13:IQ20)</f>
        <v>1316.3133333333333</v>
      </c>
      <c r="IP37" s="203">
        <v>399</v>
      </c>
      <c r="IQ37" s="243" t="s">
        <v>2864</v>
      </c>
      <c r="IV37" s="74" t="s">
        <v>1846</v>
      </c>
      <c r="IW37" s="106">
        <v>104.35</v>
      </c>
      <c r="JB37" s="201">
        <v>23.85</v>
      </c>
      <c r="JC37" s="51"/>
      <c r="JF37" s="155" t="s">
        <v>2865</v>
      </c>
      <c r="JG37" s="170">
        <v>200</v>
      </c>
      <c r="JH37" s="203">
        <v>8</v>
      </c>
      <c r="JI37" s="243" t="s">
        <v>2866</v>
      </c>
      <c r="JN37" s="203">
        <v>192.7</v>
      </c>
      <c r="JO37" s="243" t="s">
        <v>2867</v>
      </c>
      <c r="JP37" s="14" t="s">
        <v>2573</v>
      </c>
      <c r="JS37" s="232"/>
      <c r="JT37" s="263" t="s">
        <v>2868</v>
      </c>
      <c r="JU37" s="275">
        <v>5.35</v>
      </c>
      <c r="JZ37" s="152" t="s">
        <v>2869</v>
      </c>
      <c r="KA37" s="48">
        <f>45.73</f>
        <v>45.73</v>
      </c>
      <c r="KF37" s="269" t="s">
        <v>2870</v>
      </c>
      <c r="KG37" s="14">
        <v>324</v>
      </c>
      <c r="KJ37" s="176" t="s">
        <v>2580</v>
      </c>
      <c r="KK37" s="96">
        <f>SUM(KM14:KM17)</f>
        <v>53578.656000000003</v>
      </c>
      <c r="KL37" s="201">
        <v>40.25</v>
      </c>
      <c r="KM37" s="51"/>
      <c r="KN37" s="74" t="s">
        <v>2218</v>
      </c>
      <c r="KO37" s="48"/>
      <c r="KP37" s="176" t="s">
        <v>2580</v>
      </c>
      <c r="KQ37" s="96">
        <f>SUM(KS17:KS17)</f>
        <v>1223.29</v>
      </c>
      <c r="KR37" s="152" t="s">
        <v>2871</v>
      </c>
      <c r="KS37" s="106">
        <f>7.5+7.5</f>
        <v>15</v>
      </c>
      <c r="KT37" s="74" t="s">
        <v>1787</v>
      </c>
      <c r="KX37" s="152" t="s">
        <v>2872</v>
      </c>
      <c r="KY37" s="48">
        <f>20+22+11+15+9+9</f>
        <v>86</v>
      </c>
      <c r="KZ37" s="14" t="s">
        <v>372</v>
      </c>
      <c r="LB37" s="176" t="s">
        <v>2580</v>
      </c>
      <c r="LC37" s="96">
        <f>SUM(LE21:LE22)</f>
        <v>11479</v>
      </c>
      <c r="LD37" s="152" t="s">
        <v>2873</v>
      </c>
      <c r="LE37" s="106">
        <v>12</v>
      </c>
      <c r="LF37" s="14" t="s">
        <v>2874</v>
      </c>
      <c r="LH37" s="152" t="s">
        <v>2575</v>
      </c>
      <c r="LI37" s="262">
        <f>SUM(LK30:LK37)</f>
        <v>456.59999999999997</v>
      </c>
      <c r="LJ37" s="152" t="s">
        <v>2875</v>
      </c>
      <c r="LK37" s="106">
        <v>6.5</v>
      </c>
      <c r="LL37" s="74" t="s">
        <v>2735</v>
      </c>
      <c r="LN37" s="152" t="s">
        <v>2428</v>
      </c>
      <c r="LO37" s="48">
        <f>SUM(LQ29:LQ37)</f>
        <v>763.64</v>
      </c>
      <c r="LP37" s="152" t="s">
        <v>2876</v>
      </c>
      <c r="LQ37" s="106">
        <v>67.38</v>
      </c>
      <c r="LR37" s="74" t="s">
        <v>2686</v>
      </c>
      <c r="LT37" s="293" t="s">
        <v>2678</v>
      </c>
      <c r="LU37" s="48">
        <f>SUM(LW16:LW22)</f>
        <v>717.48</v>
      </c>
      <c r="LV37" s="203">
        <v>10</v>
      </c>
      <c r="LW37" s="202" t="s">
        <v>2418</v>
      </c>
      <c r="LX37" s="74" t="s">
        <v>2686</v>
      </c>
      <c r="LZ37" s="293" t="s">
        <v>2687</v>
      </c>
      <c r="MA37" s="48">
        <f>SUM(MC27:MC31)</f>
        <v>1669.48</v>
      </c>
      <c r="MB37" s="331">
        <v>40.15</v>
      </c>
      <c r="MC37" s="51"/>
      <c r="MD37" s="14" t="s">
        <v>2877</v>
      </c>
      <c r="MF37" s="320"/>
      <c r="MG37" s="320"/>
      <c r="MH37" s="326" t="s">
        <v>2878</v>
      </c>
      <c r="MI37" s="48">
        <v>6.9</v>
      </c>
      <c r="MJ37" s="74" t="s">
        <v>2123</v>
      </c>
      <c r="ML37" s="49" t="s">
        <v>2630</v>
      </c>
      <c r="MM37" s="48">
        <f>SUM(MO10:MO10)</f>
        <v>1476</v>
      </c>
      <c r="MN37" s="72" t="s">
        <v>3445</v>
      </c>
      <c r="MO37" s="608">
        <f>1294.38+250.7</f>
        <v>1545.0800000000002</v>
      </c>
      <c r="MP37" s="70"/>
      <c r="MQ37" s="48"/>
      <c r="MR37" s="293" t="s">
        <v>2687</v>
      </c>
      <c r="MS37" s="48">
        <f>SUM(MU34:MU37)</f>
        <v>1990.12</v>
      </c>
      <c r="MT37" s="605" t="s">
        <v>3453</v>
      </c>
      <c r="MU37" s="62">
        <v>588.6</v>
      </c>
      <c r="MV37" s="600" t="s">
        <v>2686</v>
      </c>
      <c r="MX37" s="157" t="s">
        <v>3480</v>
      </c>
      <c r="MY37" s="203">
        <v>0</v>
      </c>
      <c r="MZ37" s="203">
        <v>50</v>
      </c>
      <c r="NA37" s="659" t="s">
        <v>3159</v>
      </c>
      <c r="NB37" s="643" t="s">
        <v>2877</v>
      </c>
      <c r="ND37" s="326" t="s">
        <v>2428</v>
      </c>
      <c r="NE37" s="590">
        <f>SUM(NG16:NG25)</f>
        <v>80.5</v>
      </c>
      <c r="NF37" s="177" t="s">
        <v>2477</v>
      </c>
      <c r="NG37" s="22">
        <f>NC27+NE40-NI25</f>
        <v>30</v>
      </c>
      <c r="NH37" s="665" t="s">
        <v>2123</v>
      </c>
      <c r="NK37" s="48"/>
    </row>
    <row r="38" spans="1:375" ht="13.5" thickBot="1">
      <c r="Q38" s="574" t="s">
        <v>1395</v>
      </c>
      <c r="R38" s="14">
        <v>700</v>
      </c>
      <c r="AO38" s="83" t="s">
        <v>2879</v>
      </c>
      <c r="AP38" s="14">
        <v>111</v>
      </c>
      <c r="AU38" s="14" t="s">
        <v>2880</v>
      </c>
      <c r="AV38" s="14">
        <v>134</v>
      </c>
      <c r="BQ38" s="49" t="s">
        <v>2846</v>
      </c>
      <c r="BR38" s="49">
        <v>150</v>
      </c>
      <c r="CC38" s="49" t="s">
        <v>1253</v>
      </c>
      <c r="CD38" s="49">
        <f>6.8+82.4</f>
        <v>89.2</v>
      </c>
      <c r="CI38" s="49" t="s">
        <v>2701</v>
      </c>
      <c r="CJ38" s="49">
        <v>25</v>
      </c>
      <c r="CO38" s="49" t="s">
        <v>2881</v>
      </c>
      <c r="CP38" s="49">
        <v>74.8</v>
      </c>
      <c r="CU38" s="49" t="s">
        <v>2882</v>
      </c>
      <c r="CV38" s="49">
        <f>50+10</f>
        <v>60</v>
      </c>
      <c r="CW38" s="109"/>
      <c r="DA38" s="49" t="s">
        <v>2883</v>
      </c>
      <c r="DB38" s="49">
        <v>40.6</v>
      </c>
      <c r="DG38" s="123" t="s">
        <v>2884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2446</v>
      </c>
      <c r="DS38" s="149" t="s">
        <v>2885</v>
      </c>
      <c r="DT38" s="148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9"/>
      <c r="EL38" s="21" t="s">
        <v>2888</v>
      </c>
      <c r="EM38" s="21"/>
      <c r="ER38" s="66" t="s">
        <v>2889</v>
      </c>
      <c r="ES38" s="66">
        <f>710+22</f>
        <v>732</v>
      </c>
      <c r="ET38" s="14" t="s">
        <v>2446</v>
      </c>
      <c r="EX38" s="66" t="s">
        <v>2890</v>
      </c>
      <c r="EY38" s="54">
        <v>4.83</v>
      </c>
      <c r="EZ38" s="14" t="s">
        <v>2553</v>
      </c>
      <c r="FD38" s="66" t="s">
        <v>2891</v>
      </c>
      <c r="FE38" s="54">
        <v>78.69</v>
      </c>
      <c r="FF38" s="74" t="s">
        <v>2892</v>
      </c>
      <c r="FG38" s="62">
        <v>136</v>
      </c>
      <c r="FJ38" s="175" t="s">
        <v>1694</v>
      </c>
      <c r="FK38" s="66">
        <v>87.09</v>
      </c>
      <c r="FL38" s="74" t="s">
        <v>2710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2893</v>
      </c>
      <c r="FW38" s="66">
        <v>8.5299999999999994</v>
      </c>
      <c r="FX38" s="14" t="s">
        <v>2446</v>
      </c>
      <c r="GB38" s="155" t="s">
        <v>2894</v>
      </c>
      <c r="GC38" s="157"/>
      <c r="GH38" s="175" t="s">
        <v>2895</v>
      </c>
      <c r="GI38" s="66">
        <v>100</v>
      </c>
      <c r="GJ38" s="74"/>
      <c r="GK38" s="102"/>
      <c r="GN38" s="152" t="s">
        <v>2896</v>
      </c>
      <c r="GO38" s="14">
        <v>12.84</v>
      </c>
      <c r="GP38" s="74" t="s">
        <v>2897</v>
      </c>
      <c r="GQ38" s="14">
        <f>GU16</f>
        <v>84250</v>
      </c>
      <c r="GT38" s="181">
        <v>5</v>
      </c>
      <c r="GU38" s="155" t="s">
        <v>2898</v>
      </c>
      <c r="GZ38" s="152" t="s">
        <v>2899</v>
      </c>
      <c r="HA38" s="14">
        <f>36.3+3.2+61.6</f>
        <v>101.1</v>
      </c>
      <c r="HB38" s="14" t="s">
        <v>372</v>
      </c>
      <c r="HF38" s="187" t="s">
        <v>2900</v>
      </c>
      <c r="HG38" s="163">
        <v>17367.45</v>
      </c>
      <c r="HH38" s="14" t="s">
        <v>2446</v>
      </c>
      <c r="HR38" s="187" t="s">
        <v>2901</v>
      </c>
      <c r="HS38" s="204">
        <v>9.9</v>
      </c>
      <c r="HT38" s="14" t="s">
        <v>372</v>
      </c>
      <c r="HX38" s="203">
        <v>40</v>
      </c>
      <c r="HY38" s="155" t="s">
        <v>2902</v>
      </c>
      <c r="HZ38" s="188" t="s">
        <v>2472</v>
      </c>
      <c r="IA38" s="233">
        <v>21.35</v>
      </c>
      <c r="IC38" s="234"/>
      <c r="ID38" s="201">
        <v>28.33</v>
      </c>
      <c r="IE38" s="49"/>
      <c r="IH38" s="198"/>
      <c r="IJ38" s="49" t="s">
        <v>2259</v>
      </c>
      <c r="IK38" s="49">
        <v>810</v>
      </c>
      <c r="IN38" s="152" t="s">
        <v>2428</v>
      </c>
      <c r="IO38" s="50">
        <f>SUM(IQ21:IQ32)</f>
        <v>464.31</v>
      </c>
      <c r="IP38" s="203">
        <v>35</v>
      </c>
      <c r="IQ38" s="243" t="s">
        <v>2903</v>
      </c>
      <c r="IV38" s="74" t="s">
        <v>1846</v>
      </c>
      <c r="IW38" s="106">
        <v>51.81</v>
      </c>
      <c r="IZ38" s="155" t="s">
        <v>2904</v>
      </c>
      <c r="JA38" s="170">
        <v>200</v>
      </c>
      <c r="JB38" s="177" t="s">
        <v>2477</v>
      </c>
      <c r="JC38" s="202">
        <f>IY20+JA38-JE21</f>
        <v>260</v>
      </c>
      <c r="JH38" s="203">
        <v>70</v>
      </c>
      <c r="JI38" s="243" t="s">
        <v>2418</v>
      </c>
      <c r="JN38" s="203">
        <v>18</v>
      </c>
      <c r="JO38" s="243" t="s">
        <v>2905</v>
      </c>
      <c r="JT38" s="264" t="s">
        <v>2906</v>
      </c>
      <c r="JU38" s="276">
        <v>2.2000000000000002</v>
      </c>
      <c r="JZ38" s="152" t="s">
        <v>2907</v>
      </c>
      <c r="KA38" s="106">
        <v>33.03</v>
      </c>
      <c r="KF38" s="291" t="s">
        <v>2908</v>
      </c>
      <c r="KG38" s="14">
        <v>39.700000000000003</v>
      </c>
      <c r="KJ38" s="292" t="s">
        <v>2630</v>
      </c>
      <c r="KK38" s="50">
        <v>0</v>
      </c>
      <c r="KL38" s="177" t="s">
        <v>2477</v>
      </c>
      <c r="KM38" s="202">
        <f>KI27+KK45-KO28</f>
        <v>270</v>
      </c>
      <c r="KN38" s="74"/>
      <c r="KO38" s="48"/>
      <c r="KP38" s="160" t="s">
        <v>2909</v>
      </c>
      <c r="KQ38" s="50">
        <f>SUM(KS8:KS13)</f>
        <v>1643.11</v>
      </c>
      <c r="KR38" s="14" t="s">
        <v>2781</v>
      </c>
      <c r="KS38" s="62">
        <v>40</v>
      </c>
      <c r="KT38" s="74" t="s">
        <v>1835</v>
      </c>
      <c r="KW38" s="54"/>
      <c r="KX38" s="152" t="s">
        <v>2910</v>
      </c>
      <c r="KY38" s="48">
        <v>707.68</v>
      </c>
      <c r="KZ38" s="14" t="s">
        <v>2839</v>
      </c>
      <c r="LB38" s="292" t="s">
        <v>2630</v>
      </c>
      <c r="LC38" s="173">
        <f>SUM(LE10:LE13)</f>
        <v>3622.06</v>
      </c>
      <c r="LD38" s="152" t="s">
        <v>2911</v>
      </c>
      <c r="LE38" s="106">
        <f>34.12+23.77</f>
        <v>57.89</v>
      </c>
      <c r="LF38" s="14" t="s">
        <v>2912</v>
      </c>
      <c r="LJ38" s="49" t="s">
        <v>2382</v>
      </c>
      <c r="LK38" s="51">
        <f>97+232+92</f>
        <v>421</v>
      </c>
      <c r="LL38" s="14" t="s">
        <v>372</v>
      </c>
      <c r="LN38" s="152" t="s">
        <v>2575</v>
      </c>
      <c r="LO38" s="315">
        <f>SUM(LQ32:LQ37)</f>
        <v>275.81000000000006</v>
      </c>
      <c r="LP38" s="49" t="s">
        <v>2382</v>
      </c>
      <c r="LQ38" s="51">
        <f>356+144+134+20</f>
        <v>654</v>
      </c>
      <c r="LR38" s="74" t="s">
        <v>2913</v>
      </c>
      <c r="LT38" s="152" t="s">
        <v>2428</v>
      </c>
      <c r="LU38" s="48">
        <f>SUM(LW23:LW32)</f>
        <v>1291.0300000000002</v>
      </c>
      <c r="LV38" s="203">
        <v>60</v>
      </c>
      <c r="LW38" s="282" t="s">
        <v>2914</v>
      </c>
      <c r="LX38" s="74" t="s">
        <v>2790</v>
      </c>
      <c r="LZ38" s="120" t="s">
        <v>2789</v>
      </c>
      <c r="MA38" s="254">
        <f>SUM(MC32:MC34)</f>
        <v>183.3</v>
      </c>
      <c r="MB38" s="177" t="s">
        <v>2477</v>
      </c>
      <c r="MC38" s="22">
        <f>LY25+MA42-ME25</f>
        <v>230</v>
      </c>
      <c r="MD38" s="14" t="s">
        <v>2915</v>
      </c>
      <c r="MF38" s="320"/>
      <c r="MG38" s="320"/>
      <c r="MH38" s="326" t="s">
        <v>2916</v>
      </c>
      <c r="MI38" s="48">
        <v>4.9000000000000004</v>
      </c>
      <c r="MJ38" s="70"/>
      <c r="MK38" s="48"/>
      <c r="ML38" s="152" t="s">
        <v>2678</v>
      </c>
      <c r="MM38" s="48">
        <f>SUM(MO11:MO19)</f>
        <v>592.81999999999994</v>
      </c>
      <c r="MN38" s="120" t="s">
        <v>2741</v>
      </c>
      <c r="MO38" s="62">
        <v>550</v>
      </c>
      <c r="MP38" s="74"/>
      <c r="MR38" s="120" t="s">
        <v>2789</v>
      </c>
      <c r="MS38" s="254">
        <f>SUM(MU38:MU38)</f>
        <v>27.57</v>
      </c>
      <c r="MT38" s="606" t="s">
        <v>2034</v>
      </c>
      <c r="MU38" s="62">
        <v>27.57</v>
      </c>
      <c r="MV38" s="600" t="s">
        <v>3007</v>
      </c>
      <c r="MZ38" s="203">
        <v>10</v>
      </c>
      <c r="NA38" s="243" t="s">
        <v>3537</v>
      </c>
      <c r="NB38" s="643" t="s">
        <v>2874</v>
      </c>
      <c r="ND38" s="326" t="s">
        <v>2575</v>
      </c>
      <c r="NE38" s="315">
        <f>SUM(NG20:NG25)</f>
        <v>46</v>
      </c>
      <c r="NF38" s="203">
        <v>10</v>
      </c>
      <c r="NG38" s="659" t="s">
        <v>3556</v>
      </c>
      <c r="NH38" s="613" t="s">
        <v>3567</v>
      </c>
      <c r="NI38" s="674">
        <v>302.8</v>
      </c>
    </row>
    <row r="39" spans="1:375" ht="13.5" thickBot="1">
      <c r="K39" s="14" t="s">
        <v>2917</v>
      </c>
      <c r="L39" s="14">
        <v>95</v>
      </c>
      <c r="Q39" s="564" t="s">
        <v>2640</v>
      </c>
      <c r="R39" s="14">
        <v>100</v>
      </c>
      <c r="W39" s="14" t="s">
        <v>2918</v>
      </c>
      <c r="X39" s="14">
        <f>110.35+107.59-8.62-14.01</f>
        <v>195.31</v>
      </c>
      <c r="AO39" s="83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9" t="s">
        <v>2921</v>
      </c>
      <c r="BX39" s="49">
        <v>100</v>
      </c>
      <c r="CC39" s="49" t="s">
        <v>2922</v>
      </c>
      <c r="CD39" s="49">
        <v>0</v>
      </c>
      <c r="CI39" s="49" t="s">
        <v>2923</v>
      </c>
      <c r="CJ39" s="49">
        <v>102</v>
      </c>
      <c r="CO39" s="49" t="s">
        <v>2657</v>
      </c>
      <c r="CP39" s="49">
        <v>60.08</v>
      </c>
      <c r="CU39" s="49" t="s">
        <v>2924</v>
      </c>
      <c r="CV39" s="49">
        <v>80</v>
      </c>
      <c r="DA39" s="49" t="s">
        <v>2925</v>
      </c>
      <c r="DB39" s="49">
        <v>106.3</v>
      </c>
      <c r="DC39" s="109"/>
      <c r="DG39" s="123" t="s">
        <v>2926</v>
      </c>
      <c r="DH39" s="62">
        <v>32.200000000000003</v>
      </c>
      <c r="DI39" s="740" t="s">
        <v>2548</v>
      </c>
      <c r="DJ39" s="740"/>
      <c r="DM39" s="127" t="s">
        <v>2752</v>
      </c>
      <c r="DN39" s="129"/>
      <c r="DO39" s="74" t="s">
        <v>2573</v>
      </c>
      <c r="DS39" s="127" t="s">
        <v>2927</v>
      </c>
      <c r="DT39" s="129"/>
      <c r="DU39" s="74" t="s">
        <v>2573</v>
      </c>
      <c r="DY39" s="14" t="s">
        <v>2925</v>
      </c>
      <c r="DZ39" s="14">
        <v>15</v>
      </c>
      <c r="EL39" s="21"/>
      <c r="EM39" s="21"/>
      <c r="EN39" s="109"/>
      <c r="ER39" s="66" t="s">
        <v>2928</v>
      </c>
      <c r="ES39" s="66">
        <v>69</v>
      </c>
      <c r="ET39" s="14" t="s">
        <v>2573</v>
      </c>
      <c r="EX39" s="66" t="s">
        <v>2929</v>
      </c>
      <c r="EY39" s="66">
        <v>37.869999999999997</v>
      </c>
      <c r="EZ39" s="14" t="s">
        <v>197</v>
      </c>
      <c r="FD39" s="66" t="s">
        <v>2761</v>
      </c>
      <c r="FE39" s="14" t="s">
        <v>2930</v>
      </c>
      <c r="FF39" s="66" t="s">
        <v>2931</v>
      </c>
      <c r="FG39" s="66">
        <v>250</v>
      </c>
      <c r="FJ39" s="175" t="s">
        <v>2932</v>
      </c>
      <c r="FK39" s="54">
        <v>11.25</v>
      </c>
      <c r="FL39" s="74" t="s">
        <v>2933</v>
      </c>
      <c r="FM39" s="102">
        <v>101</v>
      </c>
      <c r="FP39" s="157" t="s">
        <v>2934</v>
      </c>
      <c r="FQ39" s="157"/>
      <c r="FR39" s="14" t="s">
        <v>2446</v>
      </c>
      <c r="FV39" s="175" t="s">
        <v>2935</v>
      </c>
      <c r="FW39" s="66">
        <v>184</v>
      </c>
      <c r="FX39" s="14" t="s">
        <v>2573</v>
      </c>
      <c r="GB39" s="155" t="s">
        <v>2936</v>
      </c>
      <c r="GC39" s="157"/>
      <c r="GH39" s="175" t="s">
        <v>2937</v>
      </c>
      <c r="GI39" s="14">
        <v>70</v>
      </c>
      <c r="GJ39" s="14" t="s">
        <v>372</v>
      </c>
      <c r="GN39" s="152" t="s">
        <v>2938</v>
      </c>
      <c r="GO39" s="14">
        <v>26</v>
      </c>
      <c r="GP39" s="74" t="s">
        <v>2939</v>
      </c>
      <c r="GQ39" s="102">
        <v>45000</v>
      </c>
      <c r="GT39" s="181">
        <v>20</v>
      </c>
      <c r="GU39" s="155" t="s">
        <v>2940</v>
      </c>
      <c r="GZ39" s="152" t="s">
        <v>2941</v>
      </c>
      <c r="HA39" s="14">
        <v>84.3</v>
      </c>
      <c r="HB39" s="14" t="s">
        <v>2555</v>
      </c>
      <c r="HF39" s="187" t="s">
        <v>2942</v>
      </c>
      <c r="HG39" s="165">
        <v>88</v>
      </c>
      <c r="HH39" s="14" t="s">
        <v>2573</v>
      </c>
      <c r="HL39" s="187"/>
      <c r="HM39" s="165"/>
      <c r="HR39" s="187" t="s">
        <v>2943</v>
      </c>
      <c r="HS39" s="165">
        <v>10.57</v>
      </c>
      <c r="HT39" s="14" t="s">
        <v>197</v>
      </c>
      <c r="HX39" s="203">
        <v>40</v>
      </c>
      <c r="HY39" s="155" t="s">
        <v>2944</v>
      </c>
      <c r="HZ39" s="74" t="s">
        <v>2569</v>
      </c>
      <c r="IA39" s="102">
        <v>125.91</v>
      </c>
      <c r="ID39" s="177" t="s">
        <v>2477</v>
      </c>
      <c r="IE39" s="202">
        <f>IA28+IC42-IG23</f>
        <v>175</v>
      </c>
      <c r="IH39" s="198"/>
      <c r="IJ39" s="177" t="s">
        <v>2477</v>
      </c>
      <c r="IK39" s="202">
        <f>IG23+II50-IM23</f>
        <v>230</v>
      </c>
      <c r="IN39" s="152" t="s">
        <v>2512</v>
      </c>
      <c r="IO39" s="50">
        <f>SUM(IQ25:IQ32)</f>
        <v>303.81</v>
      </c>
      <c r="IP39" s="203">
        <v>7.9</v>
      </c>
      <c r="IQ39" s="243" t="s">
        <v>2945</v>
      </c>
      <c r="IV39" s="74" t="s">
        <v>1846</v>
      </c>
      <c r="IW39" s="106">
        <v>28.77</v>
      </c>
      <c r="IZ39" s="163"/>
      <c r="JA39" s="235"/>
      <c r="JB39" s="203">
        <v>130</v>
      </c>
      <c r="JC39" s="243" t="s">
        <v>2946</v>
      </c>
      <c r="JH39" s="203">
        <v>10</v>
      </c>
      <c r="JI39" s="243" t="s">
        <v>2947</v>
      </c>
      <c r="JM39" s="232"/>
      <c r="JN39" s="203">
        <v>10</v>
      </c>
      <c r="JO39" s="21" t="s">
        <v>2948</v>
      </c>
      <c r="JS39" s="265" t="s">
        <v>2949</v>
      </c>
      <c r="JT39" s="264" t="s">
        <v>2950</v>
      </c>
      <c r="JU39" s="276">
        <v>89.39</v>
      </c>
      <c r="JX39" s="52" t="s">
        <v>2221</v>
      </c>
      <c r="JY39" s="52"/>
      <c r="JZ39" s="152" t="s">
        <v>2951</v>
      </c>
      <c r="KA39" s="48">
        <f>48.9</f>
        <v>48.9</v>
      </c>
      <c r="KF39" s="270" t="s">
        <v>1846</v>
      </c>
      <c r="KG39" s="185">
        <v>110.1</v>
      </c>
      <c r="KH39" s="14" t="s">
        <v>372</v>
      </c>
      <c r="KJ39" s="160" t="s">
        <v>2909</v>
      </c>
      <c r="KK39" s="50">
        <f>SUM(KM7:KM9)</f>
        <v>1201.5700000000002</v>
      </c>
      <c r="KL39" s="203">
        <v>40</v>
      </c>
      <c r="KM39" s="282" t="s">
        <v>2625</v>
      </c>
      <c r="KN39" s="74"/>
      <c r="KO39" s="48"/>
      <c r="KP39" s="91" t="s">
        <v>2736</v>
      </c>
      <c r="KQ39" s="239">
        <f>SUM(KS14:KS16)</f>
        <v>325.95000000000005</v>
      </c>
      <c r="KR39" s="49" t="s">
        <v>2382</v>
      </c>
      <c r="KS39" s="51">
        <v>547</v>
      </c>
      <c r="KT39" s="14" t="s">
        <v>372</v>
      </c>
      <c r="KX39" s="152" t="s">
        <v>2952</v>
      </c>
      <c r="KY39" s="48">
        <f>1264.52+12.65</f>
        <v>1277.17</v>
      </c>
      <c r="KZ39" s="14" t="s">
        <v>2874</v>
      </c>
      <c r="LB39" s="160" t="s">
        <v>2909</v>
      </c>
      <c r="LC39" s="50">
        <f>SUM(LE14:LE18)</f>
        <v>825.89</v>
      </c>
      <c r="LD39" s="152" t="s">
        <v>2953</v>
      </c>
      <c r="LE39" s="106">
        <f>7.5*2+38.7</f>
        <v>53.7</v>
      </c>
      <c r="LF39" s="54" t="s">
        <v>2954</v>
      </c>
      <c r="LH39" s="157" t="s">
        <v>2955</v>
      </c>
      <c r="LI39" s="289">
        <v>300</v>
      </c>
      <c r="LJ39" s="201">
        <v>22.09</v>
      </c>
      <c r="LK39" s="51"/>
      <c r="LL39" s="14" t="s">
        <v>2839</v>
      </c>
      <c r="LP39" s="201">
        <v>20.13</v>
      </c>
      <c r="LQ39" s="51"/>
      <c r="LT39" s="152" t="s">
        <v>2575</v>
      </c>
      <c r="LU39" s="315">
        <f>SUM(LW27:LW32)</f>
        <v>500.96000000000004</v>
      </c>
      <c r="LV39" s="203">
        <v>10</v>
      </c>
      <c r="LW39" s="282" t="s">
        <v>2956</v>
      </c>
      <c r="LZ39" s="326" t="s">
        <v>2428</v>
      </c>
      <c r="MA39" s="48">
        <f>SUM(MC17:MC26)</f>
        <v>407.61999999999989</v>
      </c>
      <c r="MB39" s="203">
        <v>6</v>
      </c>
      <c r="MC39" s="202" t="s">
        <v>2957</v>
      </c>
      <c r="MF39" s="66"/>
      <c r="MH39" s="326" t="s">
        <v>2958</v>
      </c>
      <c r="MI39" s="48">
        <v>6.3</v>
      </c>
      <c r="ML39" s="293" t="s">
        <v>2687</v>
      </c>
      <c r="MM39" s="48">
        <f>SUM(MO37:MO37)</f>
        <v>1545.0800000000002</v>
      </c>
      <c r="MN39" s="120" t="s">
        <v>3411</v>
      </c>
      <c r="MO39" s="62">
        <v>46.48</v>
      </c>
      <c r="MP39" s="74" t="s">
        <v>2686</v>
      </c>
      <c r="MR39" s="326" t="s">
        <v>2428</v>
      </c>
      <c r="MS39" s="590">
        <f>SUM(MU21:MU33)</f>
        <v>710.96</v>
      </c>
      <c r="MT39" s="49" t="s">
        <v>2691</v>
      </c>
      <c r="MU39" s="62">
        <v>5.9</v>
      </c>
      <c r="MV39" s="597" t="s">
        <v>372</v>
      </c>
      <c r="MY39" s="61"/>
      <c r="MZ39" s="648" t="s">
        <v>3516</v>
      </c>
      <c r="NA39" s="62">
        <v>14.4</v>
      </c>
      <c r="NF39" s="203">
        <v>10</v>
      </c>
      <c r="NG39" s="243" t="s">
        <v>3268</v>
      </c>
      <c r="NH39" s="665" t="s">
        <v>2686</v>
      </c>
    </row>
    <row r="40" spans="1:375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2959</v>
      </c>
      <c r="GC40" s="157"/>
      <c r="GH40" s="175" t="s">
        <v>2960</v>
      </c>
      <c r="GI40" s="66">
        <v>190</v>
      </c>
      <c r="GJ40" s="14" t="s">
        <v>2555</v>
      </c>
      <c r="GN40" s="152" t="s">
        <v>2961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2962</v>
      </c>
      <c r="GV40" s="14" t="s">
        <v>2698</v>
      </c>
      <c r="GZ40" s="152"/>
      <c r="HB40" s="14" t="s">
        <v>197</v>
      </c>
      <c r="HF40" s="187" t="s">
        <v>2963</v>
      </c>
      <c r="HG40" s="165">
        <v>9.2200000000000006</v>
      </c>
      <c r="HR40" s="187"/>
      <c r="HS40" s="165"/>
      <c r="HX40" s="203">
        <v>20</v>
      </c>
      <c r="HY40" s="155" t="s">
        <v>2964</v>
      </c>
      <c r="ID40" s="203">
        <v>70</v>
      </c>
      <c r="IE40" s="155" t="s">
        <v>2625</v>
      </c>
      <c r="IH40" s="715" t="s">
        <v>2117</v>
      </c>
      <c r="II40" s="715"/>
      <c r="IJ40" s="203">
        <v>20</v>
      </c>
      <c r="IK40" s="155" t="s">
        <v>2965</v>
      </c>
      <c r="IN40" s="155" t="s">
        <v>2966</v>
      </c>
      <c r="IO40" s="170">
        <f>100+400+100+100</f>
        <v>700</v>
      </c>
      <c r="IP40" s="203">
        <v>6</v>
      </c>
      <c r="IQ40" s="243" t="s">
        <v>2625</v>
      </c>
      <c r="IV40" s="188"/>
      <c r="IW40" s="106"/>
      <c r="JA40" s="232"/>
      <c r="JB40" s="203">
        <v>30</v>
      </c>
      <c r="JC40" s="243" t="s">
        <v>2967</v>
      </c>
      <c r="JH40" s="203">
        <v>12</v>
      </c>
      <c r="JI40" s="243" t="s">
        <v>2968</v>
      </c>
      <c r="JM40" s="232"/>
      <c r="JN40" s="203">
        <f>86*3+96</f>
        <v>354</v>
      </c>
      <c r="JO40" s="21" t="s">
        <v>2969</v>
      </c>
      <c r="JT40" s="266" t="s">
        <v>2970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2971</v>
      </c>
      <c r="KA40" s="106">
        <v>31</v>
      </c>
      <c r="KF40" s="291" t="s">
        <v>2972</v>
      </c>
      <c r="KG40" s="14">
        <v>81.84</v>
      </c>
      <c r="KH40" s="14" t="s">
        <v>197</v>
      </c>
      <c r="KJ40" s="91" t="s">
        <v>2736</v>
      </c>
      <c r="KK40" s="239">
        <f>SUM(KM10:KM13)</f>
        <v>451.43999999999994</v>
      </c>
      <c r="KL40" s="203">
        <v>6</v>
      </c>
      <c r="KM40" s="243" t="s">
        <v>2973</v>
      </c>
      <c r="KN40" s="14" t="s">
        <v>372</v>
      </c>
      <c r="KP40" s="293" t="s">
        <v>2678</v>
      </c>
      <c r="KQ40" s="50">
        <f>SUM(KS18:KS27)</f>
        <v>1009.24</v>
      </c>
      <c r="KR40" s="201">
        <v>25.54</v>
      </c>
      <c r="KS40" s="51"/>
      <c r="KT40" s="14" t="s">
        <v>2839</v>
      </c>
      <c r="KX40" s="152" t="s">
        <v>2974</v>
      </c>
      <c r="KY40" s="106">
        <v>31.96</v>
      </c>
      <c r="KZ40" s="14" t="s">
        <v>2912</v>
      </c>
      <c r="LB40" s="91" t="s">
        <v>2736</v>
      </c>
      <c r="LC40" s="239">
        <f>SUM(LE19:LE20)</f>
        <v>135.16</v>
      </c>
      <c r="LD40" s="152" t="s">
        <v>2975</v>
      </c>
      <c r="LE40" s="106">
        <v>32.5</v>
      </c>
      <c r="LJ40" s="177" t="s">
        <v>2477</v>
      </c>
      <c r="LK40" s="202">
        <f>LG23+LI39-LM23</f>
        <v>250</v>
      </c>
      <c r="LL40" s="14" t="s">
        <v>2874</v>
      </c>
      <c r="LN40" s="157" t="s">
        <v>2976</v>
      </c>
      <c r="LO40" s="316">
        <v>600</v>
      </c>
      <c r="LP40" s="177" t="s">
        <v>2477</v>
      </c>
      <c r="LQ40" s="202">
        <f>LM23+LO40-LS24</f>
        <v>710</v>
      </c>
      <c r="LV40" s="203">
        <v>20</v>
      </c>
      <c r="LW40" s="282" t="s">
        <v>2977</v>
      </c>
      <c r="LZ40" s="326" t="s">
        <v>2575</v>
      </c>
      <c r="MA40" s="315">
        <f>SUM(MC19:MC26)</f>
        <v>361.61999999999995</v>
      </c>
      <c r="MB40" s="203">
        <v>60</v>
      </c>
      <c r="MC40" s="282" t="s">
        <v>2418</v>
      </c>
      <c r="MH40" s="326" t="s">
        <v>2978</v>
      </c>
      <c r="MI40" s="48">
        <v>6.95</v>
      </c>
      <c r="MJ40" s="74" t="s">
        <v>2686</v>
      </c>
      <c r="ML40" s="120" t="s">
        <v>2789</v>
      </c>
      <c r="MM40" s="254">
        <f>SUM(MO38:MO39)</f>
        <v>596.48</v>
      </c>
      <c r="MN40" s="49" t="s">
        <v>2382</v>
      </c>
      <c r="MO40" s="51">
        <f>157+29+289+60+41+130</f>
        <v>706</v>
      </c>
      <c r="MP40" s="74" t="s">
        <v>3007</v>
      </c>
      <c r="MR40" s="326" t="s">
        <v>2575</v>
      </c>
      <c r="MS40" s="315">
        <f>SUM(MU23:MU33)</f>
        <v>639.46</v>
      </c>
      <c r="MT40" s="49" t="s">
        <v>2382</v>
      </c>
      <c r="MU40" s="51">
        <f>55+110+94+289</f>
        <v>548</v>
      </c>
      <c r="MV40" s="597" t="s">
        <v>2877</v>
      </c>
      <c r="MY40" s="61"/>
      <c r="MZ40" s="643" t="s">
        <v>3517</v>
      </c>
      <c r="NA40" s="244">
        <v>11.9</v>
      </c>
      <c r="NB40" s="643" t="s">
        <v>3001</v>
      </c>
      <c r="ND40" s="157" t="s">
        <v>3480</v>
      </c>
      <c r="NE40" s="203">
        <v>100</v>
      </c>
      <c r="NF40" s="203">
        <v>10</v>
      </c>
      <c r="NG40" s="243" t="s">
        <v>2418</v>
      </c>
      <c r="NH40" s="665" t="s">
        <v>3535</v>
      </c>
    </row>
    <row r="41" spans="1:375">
      <c r="K41" s="574" t="s">
        <v>1395</v>
      </c>
      <c r="L41" s="14">
        <v>300.01</v>
      </c>
      <c r="W41" s="14" t="s">
        <v>2979</v>
      </c>
      <c r="X41" s="14">
        <v>159</v>
      </c>
      <c r="AO41" s="83" t="s">
        <v>2980</v>
      </c>
      <c r="AP41" s="14">
        <v>-99.81</v>
      </c>
      <c r="BE41" s="14" t="s">
        <v>2796</v>
      </c>
      <c r="BF41" s="14">
        <v>400</v>
      </c>
      <c r="BW41" s="49" t="s">
        <v>2796</v>
      </c>
      <c r="BX41" s="49">
        <v>400</v>
      </c>
      <c r="CC41" s="49" t="s">
        <v>2981</v>
      </c>
      <c r="CD41" s="49">
        <v>320</v>
      </c>
      <c r="CI41" s="49" t="s">
        <v>2982</v>
      </c>
      <c r="CJ41" s="49">
        <v>50</v>
      </c>
      <c r="CO41" s="49" t="s">
        <v>2983</v>
      </c>
      <c r="CP41" s="49">
        <v>200</v>
      </c>
      <c r="CU41" s="49" t="s">
        <v>2982</v>
      </c>
      <c r="CV41" s="49">
        <v>100</v>
      </c>
      <c r="DA41" s="49" t="s">
        <v>2984</v>
      </c>
      <c r="DB41" s="49">
        <v>296.14</v>
      </c>
      <c r="DG41" s="123" t="s">
        <v>2985</v>
      </c>
      <c r="DH41" s="62">
        <v>40</v>
      </c>
      <c r="DI41" s="116" t="s">
        <v>2986</v>
      </c>
      <c r="DJ41" s="116">
        <v>200</v>
      </c>
      <c r="DM41" s="127" t="s">
        <v>2987</v>
      </c>
      <c r="DN41" s="129"/>
      <c r="DS41" s="127" t="s">
        <v>2988</v>
      </c>
      <c r="DT41" s="129"/>
      <c r="EL41" s="14" t="s">
        <v>2989</v>
      </c>
      <c r="EM41" s="14">
        <v>59.7</v>
      </c>
      <c r="ER41" s="54" t="s">
        <v>2990</v>
      </c>
      <c r="ES41" s="54">
        <v>18</v>
      </c>
      <c r="EX41" s="66" t="s">
        <v>2991</v>
      </c>
      <c r="EY41" s="66">
        <v>761</v>
      </c>
      <c r="EZ41" s="14" t="s">
        <v>2446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2992</v>
      </c>
      <c r="FQ41" s="157"/>
      <c r="FR41" s="14" t="s">
        <v>2573</v>
      </c>
      <c r="FV41" s="175" t="s">
        <v>2993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2355</v>
      </c>
      <c r="HA41" s="21"/>
      <c r="HF41" s="187"/>
      <c r="HG41" s="165"/>
      <c r="HR41" s="187" t="s">
        <v>2994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2995</v>
      </c>
      <c r="JO41" s="106">
        <v>7.5</v>
      </c>
      <c r="JT41" s="264" t="s">
        <v>2996</v>
      </c>
      <c r="JU41" s="276">
        <v>18.8</v>
      </c>
      <c r="JX41" s="176" t="s">
        <v>2526</v>
      </c>
      <c r="JY41" s="96">
        <f>SUM(KA21:KA24)</f>
        <v>6114.74</v>
      </c>
      <c r="JZ41" s="152" t="s">
        <v>2997</v>
      </c>
      <c r="KA41" s="106">
        <v>13.15</v>
      </c>
      <c r="KE41" s="54"/>
      <c r="KF41" s="291" t="s">
        <v>2998</v>
      </c>
      <c r="KG41" s="14">
        <v>37.700000000000003</v>
      </c>
      <c r="KJ41" s="293" t="s">
        <v>2678</v>
      </c>
      <c r="KK41" s="50">
        <f>SUM(KM18:KM25)</f>
        <v>714.36400000000003</v>
      </c>
      <c r="KL41" s="203">
        <v>10</v>
      </c>
      <c r="KM41" s="243" t="s">
        <v>2999</v>
      </c>
      <c r="KN41" s="729" t="s">
        <v>2954</v>
      </c>
      <c r="KO41" s="729"/>
      <c r="KP41" s="152" t="s">
        <v>2428</v>
      </c>
      <c r="KQ41" s="50">
        <f>SUM(KS28:KS37)</f>
        <v>732.65</v>
      </c>
      <c r="KR41" s="177" t="s">
        <v>2477</v>
      </c>
      <c r="KS41" s="202">
        <f>KO28+KQ44-KU26</f>
        <v>110</v>
      </c>
      <c r="KT41" s="14" t="s">
        <v>2874</v>
      </c>
      <c r="KX41" s="152" t="s">
        <v>3000</v>
      </c>
      <c r="KY41" s="48">
        <f>21.3+22.3</f>
        <v>43.6</v>
      </c>
      <c r="KZ41" s="54" t="s">
        <v>2954</v>
      </c>
      <c r="LB41" s="293" t="s">
        <v>2678</v>
      </c>
      <c r="LC41" s="50">
        <f>SUM(LE23:LE32)</f>
        <v>1073.1600000000001</v>
      </c>
      <c r="LD41" s="49" t="s">
        <v>2382</v>
      </c>
      <c r="LE41" s="51">
        <f>385+59</f>
        <v>444</v>
      </c>
      <c r="LF41" s="14" t="s">
        <v>3001</v>
      </c>
      <c r="LI41" s="54"/>
      <c r="LJ41" s="203">
        <v>40</v>
      </c>
      <c r="LK41" s="282" t="s">
        <v>3002</v>
      </c>
      <c r="LL41" s="14" t="s">
        <v>2912</v>
      </c>
      <c r="LP41" s="203">
        <v>600</v>
      </c>
      <c r="LQ41" s="202" t="s">
        <v>3003</v>
      </c>
      <c r="LT41" s="157" t="s">
        <v>3004</v>
      </c>
      <c r="LU41" s="316">
        <v>290</v>
      </c>
      <c r="LV41" s="203">
        <v>7</v>
      </c>
      <c r="LW41" s="282" t="s">
        <v>3005</v>
      </c>
      <c r="MB41" s="203">
        <v>5</v>
      </c>
      <c r="MC41" s="282" t="s">
        <v>3006</v>
      </c>
      <c r="MF41" s="52" t="s">
        <v>2221</v>
      </c>
      <c r="MG41" s="312"/>
      <c r="MH41" s="72" t="s">
        <v>3445</v>
      </c>
      <c r="MI41" s="62">
        <f>749.38+250.7</f>
        <v>1000.0799999999999</v>
      </c>
      <c r="MJ41" s="74" t="s">
        <v>3007</v>
      </c>
      <c r="ML41" s="326" t="s">
        <v>2428</v>
      </c>
      <c r="MM41" s="590">
        <f>SUM(MO20:MO36)</f>
        <v>2258.6099999999997</v>
      </c>
      <c r="MN41" s="331">
        <v>38.130000000000003</v>
      </c>
      <c r="MO41" s="51"/>
      <c r="MP41" s="14" t="s">
        <v>372</v>
      </c>
      <c r="MT41" s="331">
        <v>33.92</v>
      </c>
      <c r="MU41" s="51"/>
      <c r="MV41" s="597" t="s">
        <v>2915</v>
      </c>
      <c r="NA41" s="644"/>
      <c r="NB41" s="643" t="s">
        <v>3026</v>
      </c>
      <c r="NF41" s="203"/>
      <c r="NG41" s="127"/>
      <c r="NH41" s="667" t="s">
        <v>372</v>
      </c>
    </row>
    <row r="42" spans="1:375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3008</v>
      </c>
      <c r="GC42" s="14">
        <v>80</v>
      </c>
      <c r="GH42" s="175" t="s">
        <v>3009</v>
      </c>
      <c r="GI42" s="66">
        <v>1100</v>
      </c>
      <c r="GJ42" s="14" t="s">
        <v>197</v>
      </c>
      <c r="GN42" s="152" t="s">
        <v>3010</v>
      </c>
      <c r="GO42" s="14">
        <f>76+25.2</f>
        <v>101.2</v>
      </c>
      <c r="GP42" s="74" t="s">
        <v>3011</v>
      </c>
      <c r="GQ42" s="102"/>
      <c r="GT42" s="181">
        <v>6</v>
      </c>
      <c r="GU42" s="155" t="s">
        <v>3012</v>
      </c>
      <c r="GV42" s="109"/>
      <c r="GZ42" s="177"/>
      <c r="HA42" s="21"/>
      <c r="HB42" s="14" t="s">
        <v>2446</v>
      </c>
      <c r="HF42" s="183" t="s">
        <v>3013</v>
      </c>
      <c r="HG42" s="183">
        <v>440</v>
      </c>
      <c r="HR42" s="187"/>
      <c r="HS42" s="165"/>
      <c r="HX42" s="203">
        <v>45</v>
      </c>
      <c r="HY42" s="155" t="s">
        <v>3014</v>
      </c>
      <c r="IB42" s="155" t="s">
        <v>3015</v>
      </c>
      <c r="IC42" s="170">
        <v>205</v>
      </c>
      <c r="ID42" s="203">
        <v>15</v>
      </c>
      <c r="IE42" s="155" t="s">
        <v>3016</v>
      </c>
      <c r="IH42" s="168" t="s">
        <v>1200</v>
      </c>
      <c r="II42" s="96">
        <f>SUM(IK7:IK9)</f>
        <v>1946.12</v>
      </c>
      <c r="IJ42" s="203">
        <v>40</v>
      </c>
      <c r="IK42" s="155" t="s">
        <v>3017</v>
      </c>
      <c r="IP42" s="203">
        <v>30</v>
      </c>
      <c r="IQ42" s="243" t="s">
        <v>3018</v>
      </c>
      <c r="IV42" s="188"/>
      <c r="IW42" s="106"/>
      <c r="JA42" s="234"/>
      <c r="JB42" s="203">
        <v>30</v>
      </c>
      <c r="JC42" s="243" t="s">
        <v>3019</v>
      </c>
      <c r="JG42" s="232"/>
      <c r="JH42" s="74" t="s">
        <v>3020</v>
      </c>
      <c r="JI42" s="106">
        <v>751</v>
      </c>
      <c r="JM42" s="234"/>
      <c r="JN42" s="188" t="s">
        <v>2925</v>
      </c>
      <c r="JO42" s="106">
        <v>15.79</v>
      </c>
      <c r="JT42" s="264" t="s">
        <v>3021</v>
      </c>
      <c r="JU42" s="276">
        <v>89.8</v>
      </c>
      <c r="JX42" s="159" t="s">
        <v>1237</v>
      </c>
      <c r="JY42" s="50">
        <f>KA11</f>
        <v>5.99</v>
      </c>
      <c r="JZ42" s="152" t="s">
        <v>3022</v>
      </c>
      <c r="KA42" s="106">
        <v>38.200000000000003</v>
      </c>
      <c r="KE42" s="54"/>
      <c r="KF42" s="291" t="s">
        <v>3023</v>
      </c>
      <c r="KG42" s="14">
        <v>35.25</v>
      </c>
      <c r="KJ42" s="152" t="s">
        <v>2428</v>
      </c>
      <c r="KK42" s="50">
        <f>SUM(KM26:KM34)</f>
        <v>587.2700000000001</v>
      </c>
      <c r="KL42" s="203">
        <v>6</v>
      </c>
      <c r="KM42" s="243" t="s">
        <v>3024</v>
      </c>
      <c r="KP42" s="152" t="s">
        <v>2575</v>
      </c>
      <c r="KQ42" s="262">
        <f>SUM(KS30:KS37)</f>
        <v>271.73</v>
      </c>
      <c r="KR42" s="203">
        <v>45</v>
      </c>
      <c r="KS42" s="282" t="s">
        <v>2625</v>
      </c>
      <c r="KT42" s="14" t="s">
        <v>2912</v>
      </c>
      <c r="KV42" s="52" t="s">
        <v>2221</v>
      </c>
      <c r="KW42" s="52"/>
      <c r="KX42" s="152" t="s">
        <v>3025</v>
      </c>
      <c r="KY42" s="48">
        <f>42.17+45.14</f>
        <v>87.31</v>
      </c>
      <c r="LB42" s="152" t="s">
        <v>2428</v>
      </c>
      <c r="LC42" s="50">
        <f>SUM(LE33:LE40)</f>
        <v>808.89</v>
      </c>
      <c r="LD42" s="201">
        <v>58.81</v>
      </c>
      <c r="LE42" s="51"/>
      <c r="LF42" s="14" t="s">
        <v>3026</v>
      </c>
      <c r="LI42" s="54"/>
      <c r="LJ42" s="203">
        <v>10</v>
      </c>
      <c r="LK42" s="243" t="s">
        <v>3027</v>
      </c>
      <c r="LL42" s="54" t="s">
        <v>2954</v>
      </c>
      <c r="LO42" s="61"/>
      <c r="LP42" s="203">
        <v>40</v>
      </c>
      <c r="LQ42" s="282" t="s">
        <v>3028</v>
      </c>
      <c r="LV42" s="203">
        <v>20</v>
      </c>
      <c r="LW42" s="282" t="s">
        <v>3029</v>
      </c>
      <c r="LZ42" s="157" t="s">
        <v>3030</v>
      </c>
      <c r="MA42" s="316">
        <v>200</v>
      </c>
      <c r="MB42" s="203">
        <v>20</v>
      </c>
      <c r="MC42" s="282" t="s">
        <v>3031</v>
      </c>
      <c r="MF42" s="330" t="s">
        <v>1200</v>
      </c>
      <c r="MG42" s="62">
        <f>SUM(MI6:MI10)</f>
        <v>7300.16</v>
      </c>
      <c r="MH42" s="72" t="s">
        <v>3032</v>
      </c>
      <c r="MI42" s="62">
        <v>14.9</v>
      </c>
      <c r="MJ42" s="14" t="s">
        <v>372</v>
      </c>
      <c r="ML42" s="326" t="s">
        <v>2575</v>
      </c>
      <c r="MM42" s="315">
        <f>SUM(MO25:MO36)</f>
        <v>409.42999999999995</v>
      </c>
      <c r="MN42" s="177" t="s">
        <v>2477</v>
      </c>
      <c r="MO42" s="22">
        <f>MK28+MM44-MQ28</f>
        <v>90</v>
      </c>
      <c r="MP42" s="14" t="s">
        <v>2877</v>
      </c>
      <c r="MR42" s="157" t="s">
        <v>3477</v>
      </c>
      <c r="MS42" s="203">
        <v>50</v>
      </c>
      <c r="MT42" s="177" t="s">
        <v>2477</v>
      </c>
      <c r="MU42" s="22">
        <f>MQ28+MS42-MW28</f>
        <v>60</v>
      </c>
      <c r="NE42" s="61"/>
      <c r="NF42" s="666"/>
      <c r="NG42" s="62"/>
      <c r="NH42" s="667" t="s">
        <v>2877</v>
      </c>
    </row>
    <row r="43" spans="1:375">
      <c r="K43" s="564" t="s">
        <v>2640</v>
      </c>
      <c r="L43" s="14">
        <v>100</v>
      </c>
      <c r="AO43" s="83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9" t="s">
        <v>2846</v>
      </c>
      <c r="BX43" s="49">
        <v>150</v>
      </c>
      <c r="CC43" s="49" t="s">
        <v>2796</v>
      </c>
      <c r="CD43" s="49">
        <v>500</v>
      </c>
      <c r="CI43" s="49" t="s">
        <v>3035</v>
      </c>
      <c r="CJ43" s="49">
        <v>0</v>
      </c>
      <c r="CO43" s="49" t="s">
        <v>2796</v>
      </c>
      <c r="CP43" s="49">
        <v>500</v>
      </c>
      <c r="CU43" s="49" t="s">
        <v>3036</v>
      </c>
      <c r="CV43" s="49">
        <v>30</v>
      </c>
      <c r="DA43" s="49" t="s">
        <v>3037</v>
      </c>
      <c r="DB43" s="49">
        <v>127.5</v>
      </c>
      <c r="DG43" s="123" t="s">
        <v>3038</v>
      </c>
      <c r="DH43" s="62">
        <v>65.319999999999993</v>
      </c>
      <c r="DI43" s="116" t="s">
        <v>3039</v>
      </c>
      <c r="DJ43" s="581" t="s">
        <v>3040</v>
      </c>
      <c r="DM43" s="127" t="s">
        <v>3041</v>
      </c>
      <c r="DN43" s="129"/>
      <c r="DP43" s="14"/>
      <c r="DS43" s="127" t="s">
        <v>3042</v>
      </c>
      <c r="DT43" s="129"/>
      <c r="DY43" s="14" t="s">
        <v>2807</v>
      </c>
      <c r="DZ43" s="14">
        <v>734.46</v>
      </c>
      <c r="EL43" s="66" t="s">
        <v>3043</v>
      </c>
      <c r="EM43" s="54">
        <v>29.9</v>
      </c>
      <c r="ER43" s="66" t="s">
        <v>3044</v>
      </c>
      <c r="ES43" s="14">
        <f>11.88+1.49+3.62</f>
        <v>16.990000000000002</v>
      </c>
      <c r="EX43" s="66" t="s">
        <v>3045</v>
      </c>
      <c r="EY43" s="66">
        <f>560-555.22</f>
        <v>4.7799999999999727</v>
      </c>
      <c r="EZ43" s="14" t="s">
        <v>2573</v>
      </c>
      <c r="FD43" s="14" t="s">
        <v>2807</v>
      </c>
      <c r="FE43" s="54">
        <v>790</v>
      </c>
      <c r="FF43" s="14" t="s">
        <v>372</v>
      </c>
      <c r="FJ43" s="14" t="s">
        <v>2807</v>
      </c>
      <c r="FK43" s="54">
        <v>990</v>
      </c>
      <c r="FL43" s="74"/>
      <c r="FM43" s="102"/>
      <c r="FP43" s="155" t="s">
        <v>2418</v>
      </c>
      <c r="FQ43" s="157"/>
      <c r="FV43" s="175" t="s">
        <v>3046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3047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2307</v>
      </c>
      <c r="JY43" s="173">
        <f>SUM(KA12:KA20)</f>
        <v>2906.73</v>
      </c>
      <c r="JZ43" s="152" t="s">
        <v>3048</v>
      </c>
      <c r="KA43" s="106">
        <v>10.5</v>
      </c>
      <c r="KE43" s="54" t="s">
        <v>2949</v>
      </c>
      <c r="KF43" s="294" t="s">
        <v>3049</v>
      </c>
      <c r="KG43" s="14">
        <v>98.58</v>
      </c>
      <c r="KJ43" s="152" t="s">
        <v>2575</v>
      </c>
      <c r="KK43" s="262">
        <f>SUM(KM28:KM34)</f>
        <v>362.27</v>
      </c>
      <c r="KL43" s="203">
        <v>100</v>
      </c>
      <c r="KM43" s="243" t="s">
        <v>2914</v>
      </c>
      <c r="KN43" s="14" t="s">
        <v>3001</v>
      </c>
      <c r="KR43" s="203">
        <v>12.4</v>
      </c>
      <c r="KS43" s="243" t="s">
        <v>3050</v>
      </c>
      <c r="KT43" s="54" t="s">
        <v>2954</v>
      </c>
      <c r="KV43" s="183" t="s">
        <v>1200</v>
      </c>
      <c r="KW43" s="96">
        <f>SUM(KY7:KY8)</f>
        <v>1950.12</v>
      </c>
      <c r="KX43" s="152" t="s">
        <v>3051</v>
      </c>
      <c r="KY43" s="48">
        <f>26.4+39.9</f>
        <v>66.3</v>
      </c>
      <c r="KZ43" s="14" t="s">
        <v>3001</v>
      </c>
      <c r="LB43" s="152" t="s">
        <v>2575</v>
      </c>
      <c r="LC43" s="262">
        <f>SUM(LE35:LE40)</f>
        <v>235.89</v>
      </c>
      <c r="LD43" s="177" t="s">
        <v>2477</v>
      </c>
      <c r="LE43" s="202">
        <f>LA25+LC45-LG23</f>
        <v>130</v>
      </c>
      <c r="LJ43" s="203">
        <v>30</v>
      </c>
      <c r="LK43" s="243" t="s">
        <v>3052</v>
      </c>
      <c r="LO43" s="61"/>
      <c r="LP43" s="203">
        <v>10</v>
      </c>
      <c r="LQ43" s="282" t="s">
        <v>3053</v>
      </c>
      <c r="LR43" s="54"/>
      <c r="LU43" s="61"/>
      <c r="LV43" s="203">
        <v>50</v>
      </c>
      <c r="LW43" s="282" t="s">
        <v>3054</v>
      </c>
      <c r="LX43" s="54"/>
      <c r="MB43" s="203">
        <v>10</v>
      </c>
      <c r="MC43" s="282" t="s">
        <v>3055</v>
      </c>
      <c r="MF43" s="160" t="s">
        <v>2587</v>
      </c>
      <c r="MG43" s="62">
        <v>0</v>
      </c>
      <c r="MH43" s="120" t="s">
        <v>3056</v>
      </c>
      <c r="MI43" s="62">
        <v>118.59</v>
      </c>
      <c r="MJ43" s="14" t="s">
        <v>2877</v>
      </c>
      <c r="MN43" s="203">
        <v>40</v>
      </c>
      <c r="MO43" s="22" t="s">
        <v>2914</v>
      </c>
      <c r="MP43" s="14" t="s">
        <v>2915</v>
      </c>
      <c r="MT43" s="203">
        <v>20</v>
      </c>
      <c r="MU43" s="282" t="s">
        <v>3492</v>
      </c>
      <c r="MV43" s="597" t="s">
        <v>3001</v>
      </c>
      <c r="NE43" s="61"/>
      <c r="NG43" s="244"/>
      <c r="NH43" s="667" t="s">
        <v>2874</v>
      </c>
    </row>
    <row r="44" spans="1:375" ht="13.5" thickBot="1">
      <c r="W44" s="574" t="s">
        <v>1395</v>
      </c>
      <c r="X44" s="14">
        <v>600</v>
      </c>
      <c r="AO44" s="83" t="s">
        <v>3057</v>
      </c>
      <c r="AP44" s="14">
        <v>95</v>
      </c>
      <c r="AU44" s="14" t="s">
        <v>3058</v>
      </c>
      <c r="AV44" s="14">
        <v>-180</v>
      </c>
      <c r="CC44" s="49" t="s">
        <v>2846</v>
      </c>
      <c r="CD44" s="49">
        <v>150</v>
      </c>
      <c r="CI44" s="49" t="s">
        <v>3059</v>
      </c>
      <c r="CJ44" s="49">
        <v>300</v>
      </c>
      <c r="CO44" s="49" t="s">
        <v>2846</v>
      </c>
      <c r="CP44" s="49">
        <v>400</v>
      </c>
      <c r="CU44" s="49" t="s">
        <v>2796</v>
      </c>
      <c r="CV44" s="49">
        <v>500</v>
      </c>
      <c r="DA44" s="49" t="s">
        <v>3060</v>
      </c>
      <c r="DB44" s="49">
        <v>114.55</v>
      </c>
      <c r="DG44" s="123" t="s">
        <v>3061</v>
      </c>
      <c r="DH44" s="62">
        <v>95</v>
      </c>
      <c r="DI44" s="116" t="s">
        <v>3062</v>
      </c>
      <c r="DJ44" s="581" t="s">
        <v>3040</v>
      </c>
      <c r="DL44" s="66"/>
      <c r="DM44" s="127" t="s">
        <v>3063</v>
      </c>
      <c r="DN44" s="129"/>
      <c r="DO44" s="54"/>
      <c r="DP44" s="138">
        <f>-DP10</f>
        <v>2524</v>
      </c>
      <c r="DR44" s="66"/>
      <c r="DS44" s="127" t="s">
        <v>3064</v>
      </c>
      <c r="DT44" s="129"/>
      <c r="DY44" s="14" t="s">
        <v>3065</v>
      </c>
      <c r="EA44" s="14" t="s">
        <v>3066</v>
      </c>
      <c r="EL44" s="66" t="s">
        <v>3067</v>
      </c>
      <c r="EM44" s="66">
        <v>35.799999999999997</v>
      </c>
      <c r="ER44" s="66" t="s">
        <v>3068</v>
      </c>
      <c r="ES44" s="14">
        <v>69.7</v>
      </c>
      <c r="EX44" s="66" t="s">
        <v>3069</v>
      </c>
      <c r="EY44" s="66">
        <v>8.64</v>
      </c>
      <c r="FD44" s="14" t="s">
        <v>3070</v>
      </c>
      <c r="FE44" s="66"/>
      <c r="FF44" s="14" t="s">
        <v>2555</v>
      </c>
      <c r="FJ44" s="14" t="s">
        <v>3071</v>
      </c>
      <c r="FK44" s="66"/>
      <c r="FL44" s="66"/>
      <c r="FP44" s="155" t="s">
        <v>3072</v>
      </c>
      <c r="FQ44" s="157"/>
      <c r="GB44" s="175" t="s">
        <v>3073</v>
      </c>
      <c r="GC44" s="66">
        <v>11</v>
      </c>
      <c r="GH44" s="175" t="s">
        <v>3074</v>
      </c>
      <c r="GI44" s="66">
        <v>43</v>
      </c>
      <c r="GJ44" s="14" t="s">
        <v>2446</v>
      </c>
      <c r="GN44" s="177" t="s">
        <v>2355</v>
      </c>
      <c r="GO44" s="21"/>
      <c r="GP44" s="14" t="s">
        <v>2555</v>
      </c>
      <c r="GT44" s="181">
        <v>30</v>
      </c>
      <c r="GU44" s="155" t="s">
        <v>3075</v>
      </c>
      <c r="GZ44" s="157" t="s">
        <v>3076</v>
      </c>
      <c r="HA44" s="171">
        <f>GW16+GZ43-HC17</f>
        <v>134</v>
      </c>
      <c r="HB44" s="14" t="s">
        <v>2573</v>
      </c>
      <c r="HE44" s="154"/>
      <c r="HF44" s="190">
        <v>29.54</v>
      </c>
      <c r="HX44" s="187" t="s">
        <v>3077</v>
      </c>
      <c r="HY44" s="165">
        <v>98.89</v>
      </c>
      <c r="HZ44" s="14" t="s">
        <v>372</v>
      </c>
      <c r="ID44" s="203">
        <v>10</v>
      </c>
      <c r="IE44" s="155" t="s">
        <v>3078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3079</v>
      </c>
      <c r="IP44" s="203">
        <v>20</v>
      </c>
      <c r="IQ44" s="243" t="s">
        <v>3080</v>
      </c>
      <c r="IV44" s="188"/>
      <c r="IW44" s="106"/>
      <c r="JB44" s="203">
        <v>13</v>
      </c>
      <c r="JC44" s="243" t="s">
        <v>3081</v>
      </c>
      <c r="JG44" s="232"/>
      <c r="JH44" s="74" t="s">
        <v>1694</v>
      </c>
      <c r="JI44" s="106">
        <v>12.34</v>
      </c>
      <c r="JN44" s="74" t="s">
        <v>3082</v>
      </c>
      <c r="JO44" s="106">
        <v>13.3</v>
      </c>
      <c r="JT44" s="267" t="s">
        <v>1846</v>
      </c>
      <c r="JU44" s="277">
        <f>80.82+75.78</f>
        <v>156.6</v>
      </c>
      <c r="JX44" s="167" t="s">
        <v>2366</v>
      </c>
      <c r="JY44" s="50">
        <f>SUM(KA25:KA33)</f>
        <v>1008.43</v>
      </c>
      <c r="JZ44" s="152" t="s">
        <v>3083</v>
      </c>
      <c r="KA44" s="48">
        <f>47.8+1.2+2.5+3.2</f>
        <v>54.7</v>
      </c>
      <c r="KE44" s="54"/>
      <c r="KL44" s="203">
        <v>9</v>
      </c>
      <c r="KM44" s="243" t="s">
        <v>3084</v>
      </c>
      <c r="KN44" s="14" t="s">
        <v>3026</v>
      </c>
      <c r="KP44" s="157" t="s">
        <v>3085</v>
      </c>
      <c r="KQ44" s="289">
        <v>100</v>
      </c>
      <c r="KR44" s="203">
        <v>10</v>
      </c>
      <c r="KS44" s="243" t="s">
        <v>3086</v>
      </c>
      <c r="KV44" s="176" t="s">
        <v>2580</v>
      </c>
      <c r="KW44" s="96">
        <f>SUM(KY24:KY24)</f>
        <v>1196.72</v>
      </c>
      <c r="KX44" s="152" t="s">
        <v>3087</v>
      </c>
      <c r="KY44" s="48">
        <v>6</v>
      </c>
      <c r="KZ44" s="14" t="s">
        <v>3026</v>
      </c>
      <c r="LD44" s="203">
        <v>22.2</v>
      </c>
      <c r="LE44" s="282" t="s">
        <v>3088</v>
      </c>
      <c r="LJ44" s="203">
        <v>30</v>
      </c>
      <c r="LK44" s="243" t="s">
        <v>2418</v>
      </c>
      <c r="LL44" s="14" t="s">
        <v>3001</v>
      </c>
      <c r="LP44" s="203">
        <v>10</v>
      </c>
      <c r="LQ44" s="282" t="s">
        <v>1395</v>
      </c>
      <c r="LU44" s="61"/>
      <c r="LV44" s="203">
        <v>20</v>
      </c>
      <c r="LW44" s="282" t="s">
        <v>3089</v>
      </c>
      <c r="MA44" s="61"/>
      <c r="MB44" s="203">
        <v>10</v>
      </c>
      <c r="MC44" s="282" t="s">
        <v>3090</v>
      </c>
      <c r="MF44" s="49" t="s">
        <v>2630</v>
      </c>
      <c r="MG44" s="48">
        <f>SUM(MI11:MI11)</f>
        <v>1526</v>
      </c>
      <c r="MH44" s="120" t="s">
        <v>3056</v>
      </c>
      <c r="MI44" s="62">
        <v>34.200000000000003</v>
      </c>
      <c r="MJ44" s="14" t="s">
        <v>2915</v>
      </c>
      <c r="ML44" s="157" t="s">
        <v>3414</v>
      </c>
      <c r="MM44" s="316">
        <v>150</v>
      </c>
      <c r="MN44" s="203">
        <v>28.7</v>
      </c>
      <c r="MO44" s="282" t="s">
        <v>3405</v>
      </c>
      <c r="MS44" s="61"/>
      <c r="MT44" s="602" t="s">
        <v>3429</v>
      </c>
      <c r="MU44" s="247">
        <v>399</v>
      </c>
      <c r="MV44" s="597" t="s">
        <v>3026</v>
      </c>
      <c r="NG44" s="664"/>
    </row>
    <row r="45" spans="1:375">
      <c r="W45" s="564" t="s">
        <v>2640</v>
      </c>
      <c r="X45" s="14">
        <v>100</v>
      </c>
      <c r="AU45" s="14" t="s">
        <v>3091</v>
      </c>
      <c r="AV45" s="14">
        <f>53+76.3</f>
        <v>129.30000000000001</v>
      </c>
      <c r="CI45" s="49" t="s">
        <v>2796</v>
      </c>
      <c r="CJ45" s="49">
        <v>400</v>
      </c>
      <c r="CO45" s="49" t="s">
        <v>3092</v>
      </c>
      <c r="CU45" s="49" t="s">
        <v>2846</v>
      </c>
      <c r="CV45" s="49">
        <v>200</v>
      </c>
      <c r="DA45" s="49" t="s">
        <v>2796</v>
      </c>
      <c r="DB45" s="49">
        <v>700</v>
      </c>
      <c r="DG45" s="126" t="s">
        <v>2805</v>
      </c>
      <c r="DH45" s="128">
        <v>350</v>
      </c>
      <c r="DJ45" s="61"/>
      <c r="DL45" s="66"/>
      <c r="DM45" s="66" t="s">
        <v>3093</v>
      </c>
      <c r="DN45" s="62">
        <v>22.9</v>
      </c>
      <c r="DO45" s="54"/>
      <c r="DP45" s="138">
        <v>34.799999999999997</v>
      </c>
      <c r="DR45" s="66"/>
      <c r="DS45" s="127" t="s">
        <v>3094</v>
      </c>
      <c r="DT45" s="129"/>
      <c r="DU45" s="109"/>
      <c r="DY45" s="14" t="s">
        <v>2887</v>
      </c>
      <c r="DZ45" s="14">
        <v>70</v>
      </c>
      <c r="EL45" s="14" t="s">
        <v>3095</v>
      </c>
      <c r="EM45" s="14">
        <v>19.899999999999999</v>
      </c>
      <c r="ET45" s="109"/>
      <c r="EX45" s="66" t="s">
        <v>3096</v>
      </c>
      <c r="EY45" s="66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6"/>
      <c r="FP45" s="66" t="s">
        <v>3097</v>
      </c>
      <c r="FQ45" s="14">
        <v>24</v>
      </c>
      <c r="FV45" s="14" t="s">
        <v>2807</v>
      </c>
      <c r="FW45" s="54">
        <v>646</v>
      </c>
      <c r="FX45" s="109"/>
      <c r="GB45" s="175" t="s">
        <v>3098</v>
      </c>
      <c r="GC45" s="66">
        <v>20</v>
      </c>
      <c r="GD45" s="109"/>
      <c r="GH45" s="175" t="s">
        <v>2034</v>
      </c>
      <c r="GI45" s="66">
        <v>64.680000000000007</v>
      </c>
      <c r="GJ45" s="14" t="s">
        <v>2573</v>
      </c>
      <c r="GN45" s="170">
        <v>100</v>
      </c>
      <c r="GO45" s="177"/>
      <c r="GP45" s="14" t="s">
        <v>197</v>
      </c>
      <c r="GT45" s="175" t="s">
        <v>3099</v>
      </c>
      <c r="GU45" s="66">
        <v>70</v>
      </c>
      <c r="GZ45" s="180">
        <v>60</v>
      </c>
      <c r="HA45" s="155" t="s">
        <v>2418</v>
      </c>
      <c r="HF45" s="14" t="s">
        <v>3100</v>
      </c>
      <c r="HG45" s="66">
        <v>90</v>
      </c>
      <c r="HX45" s="214" t="s">
        <v>3101</v>
      </c>
      <c r="HY45" s="214"/>
      <c r="HZ45" s="14" t="s">
        <v>197</v>
      </c>
      <c r="ID45" s="203">
        <f>20+9</f>
        <v>29</v>
      </c>
      <c r="IE45" s="155" t="s">
        <v>3102</v>
      </c>
      <c r="IH45" s="174" t="s">
        <v>1237</v>
      </c>
      <c r="II45" s="50">
        <f>SUM(IK10:IK11)</f>
        <v>3467.75</v>
      </c>
      <c r="IJ45" s="203">
        <v>20</v>
      </c>
      <c r="IK45" s="155" t="s">
        <v>3103</v>
      </c>
      <c r="IO45" s="232"/>
      <c r="IP45" s="203">
        <v>12</v>
      </c>
      <c r="IQ45" s="243" t="s">
        <v>3104</v>
      </c>
      <c r="IV45" s="195"/>
      <c r="IW45" s="244"/>
      <c r="JB45" s="242" t="s">
        <v>3105</v>
      </c>
      <c r="JC45" s="247">
        <v>18</v>
      </c>
      <c r="JG45" s="234"/>
      <c r="JH45" s="188" t="s">
        <v>3106</v>
      </c>
      <c r="JI45" s="106">
        <v>65</v>
      </c>
      <c r="JN45" s="14" t="s">
        <v>3107</v>
      </c>
      <c r="JO45" s="106">
        <v>120.36</v>
      </c>
      <c r="JT45" s="268" t="s">
        <v>3108</v>
      </c>
      <c r="JU45" s="278">
        <v>27.83</v>
      </c>
      <c r="JX45" s="152" t="s">
        <v>2428</v>
      </c>
      <c r="JY45" s="50">
        <f>SUM(KA34:KA45)</f>
        <v>681.71</v>
      </c>
      <c r="JZ45" s="152" t="s">
        <v>3109</v>
      </c>
      <c r="KA45" s="106">
        <v>26.5</v>
      </c>
      <c r="KE45" s="54"/>
      <c r="KJ45" s="157" t="s">
        <v>3110</v>
      </c>
      <c r="KK45" s="289">
        <v>250</v>
      </c>
      <c r="KL45" s="203">
        <v>10</v>
      </c>
      <c r="KM45" s="243" t="s">
        <v>3111</v>
      </c>
      <c r="KR45" s="203">
        <f>10+10+5+5</f>
        <v>30</v>
      </c>
      <c r="KS45" s="243" t="s">
        <v>3112</v>
      </c>
      <c r="KT45" s="14" t="s">
        <v>3001</v>
      </c>
      <c r="KV45" s="292" t="s">
        <v>2630</v>
      </c>
      <c r="KW45" s="50">
        <v>0</v>
      </c>
      <c r="KX45" s="152" t="s">
        <v>3113</v>
      </c>
      <c r="KY45" s="48">
        <v>7.9</v>
      </c>
      <c r="LB45" s="157" t="s">
        <v>3114</v>
      </c>
      <c r="LC45" s="289">
        <v>200</v>
      </c>
      <c r="LD45" s="203">
        <v>30</v>
      </c>
      <c r="LE45" s="243" t="s">
        <v>2418</v>
      </c>
      <c r="LJ45" s="203">
        <v>13</v>
      </c>
      <c r="LK45" s="243" t="s">
        <v>3115</v>
      </c>
      <c r="LL45" s="14" t="s">
        <v>3026</v>
      </c>
      <c r="LP45" s="70" t="s">
        <v>3116</v>
      </c>
      <c r="LQ45" s="247">
        <f>212.55-160-14.41</f>
        <v>38.140000000000015</v>
      </c>
      <c r="LV45" s="203">
        <v>10</v>
      </c>
      <c r="LW45" s="282" t="s">
        <v>3117</v>
      </c>
      <c r="MA45" s="61"/>
      <c r="MB45" s="203">
        <v>10</v>
      </c>
      <c r="MC45" s="282" t="s">
        <v>3118</v>
      </c>
      <c r="MF45" s="152" t="s">
        <v>2678</v>
      </c>
      <c r="MG45" s="48">
        <f>SUM(MI12:MI18)</f>
        <v>899.24</v>
      </c>
      <c r="MH45" s="120" t="s">
        <v>2692</v>
      </c>
      <c r="MI45" s="62">
        <v>117.18</v>
      </c>
      <c r="MN45" s="203">
        <v>8</v>
      </c>
      <c r="MO45" s="282" t="s">
        <v>3406</v>
      </c>
      <c r="MP45" s="14" t="s">
        <v>3001</v>
      </c>
      <c r="MS45" s="61"/>
      <c r="MT45" s="602" t="s">
        <v>3428</v>
      </c>
      <c r="MU45" s="598">
        <v>59</v>
      </c>
      <c r="NH45" s="667" t="s">
        <v>3001</v>
      </c>
    </row>
    <row r="46" spans="1:375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9" t="s">
        <v>2846</v>
      </c>
      <c r="CJ46" s="49">
        <v>150</v>
      </c>
      <c r="CU46" s="49" t="s">
        <v>3121</v>
      </c>
      <c r="DG46" s="127" t="s">
        <v>3122</v>
      </c>
      <c r="DH46" s="129"/>
      <c r="DI46" s="564" t="s">
        <v>372</v>
      </c>
      <c r="DL46" s="66"/>
      <c r="DM46" s="66" t="s">
        <v>3123</v>
      </c>
      <c r="DN46" s="62">
        <v>36.299999999999997</v>
      </c>
      <c r="DO46" s="54"/>
      <c r="DP46" s="138">
        <v>1.93</v>
      </c>
      <c r="DR46" s="66"/>
      <c r="DS46" s="127" t="s">
        <v>3124</v>
      </c>
      <c r="DT46" s="129"/>
      <c r="EL46" s="66" t="s">
        <v>3125</v>
      </c>
      <c r="EM46" s="66">
        <v>29</v>
      </c>
      <c r="ER46" s="14" t="s">
        <v>2807</v>
      </c>
      <c r="ES46" s="54">
        <v>840</v>
      </c>
      <c r="EX46" s="66" t="s">
        <v>3126</v>
      </c>
      <c r="EY46" s="66">
        <v>15.19</v>
      </c>
      <c r="FF46" s="14" t="s">
        <v>197</v>
      </c>
      <c r="FL46" s="14" t="s">
        <v>372</v>
      </c>
      <c r="FP46" s="54" t="s">
        <v>2924</v>
      </c>
      <c r="FQ46" s="54">
        <v>50</v>
      </c>
      <c r="FR46" s="109"/>
      <c r="FV46" s="14" t="s">
        <v>3127</v>
      </c>
      <c r="FW46" s="66"/>
      <c r="GB46" s="175" t="s">
        <v>3128</v>
      </c>
      <c r="GC46" s="66">
        <v>20</v>
      </c>
      <c r="GN46" s="157" t="s">
        <v>3129</v>
      </c>
      <c r="GO46" s="171">
        <f>GK17+GN45-GQ17</f>
        <v>104</v>
      </c>
      <c r="GP46" s="14" t="s">
        <v>2446</v>
      </c>
      <c r="GT46" s="175" t="s">
        <v>3130</v>
      </c>
      <c r="GU46" s="66">
        <v>29.6</v>
      </c>
      <c r="GZ46" s="181">
        <v>20</v>
      </c>
      <c r="HA46" s="155" t="s">
        <v>2513</v>
      </c>
      <c r="HX46" s="214"/>
      <c r="HY46" s="214"/>
      <c r="ID46" s="74" t="s">
        <v>3131</v>
      </c>
      <c r="IE46" s="165">
        <v>23</v>
      </c>
      <c r="IH46" s="162" t="s">
        <v>2307</v>
      </c>
      <c r="II46" s="173">
        <f>SUM(IK12:IK13)</f>
        <v>2138.0500000000002</v>
      </c>
      <c r="IJ46" s="203">
        <v>5</v>
      </c>
      <c r="IK46" s="155" t="s">
        <v>3132</v>
      </c>
      <c r="IO46" s="232"/>
      <c r="IP46" s="203">
        <v>20</v>
      </c>
      <c r="IQ46" s="243" t="s">
        <v>2625</v>
      </c>
      <c r="IV46" s="195"/>
      <c r="IW46" s="154"/>
      <c r="JB46" s="74" t="s">
        <v>3133</v>
      </c>
      <c r="JC46" s="14">
        <v>86.8</v>
      </c>
      <c r="JH46" s="74" t="s">
        <v>3134</v>
      </c>
      <c r="JI46" s="106">
        <v>13.3</v>
      </c>
      <c r="JN46" s="188" t="s">
        <v>3135</v>
      </c>
      <c r="JO46" s="106">
        <v>2.79</v>
      </c>
      <c r="JT46" s="268" t="s">
        <v>3136</v>
      </c>
      <c r="JU46" s="278">
        <v>8.61</v>
      </c>
      <c r="JX46" s="152" t="s">
        <v>2575</v>
      </c>
      <c r="JY46" s="50">
        <f>SUM(KA37:KA45)</f>
        <v>301.70999999999998</v>
      </c>
      <c r="JZ46" s="14" t="s">
        <v>2433</v>
      </c>
      <c r="KA46" s="62">
        <f>8+61+1</f>
        <v>70</v>
      </c>
      <c r="KE46" s="54"/>
      <c r="KL46" s="203">
        <v>20</v>
      </c>
      <c r="KM46" s="243" t="s">
        <v>3137</v>
      </c>
      <c r="KQ46" s="54"/>
      <c r="KR46" s="14" t="s">
        <v>3138</v>
      </c>
      <c r="KS46" s="14">
        <v>120</v>
      </c>
      <c r="KT46" s="14" t="s">
        <v>3026</v>
      </c>
      <c r="KV46" s="160" t="s">
        <v>2909</v>
      </c>
      <c r="KW46" s="50">
        <f>SUM(KY9:KY14)</f>
        <v>1272.93</v>
      </c>
      <c r="KX46" s="152" t="s">
        <v>3139</v>
      </c>
      <c r="KY46" s="106">
        <f>40.5+66.1</f>
        <v>106.6</v>
      </c>
      <c r="LD46" s="203">
        <v>20</v>
      </c>
      <c r="LE46" s="243" t="s">
        <v>3140</v>
      </c>
      <c r="LJ46" s="203">
        <v>7</v>
      </c>
      <c r="LK46" s="243" t="s">
        <v>3141</v>
      </c>
      <c r="LP46" s="70" t="s">
        <v>3142</v>
      </c>
      <c r="LQ46" s="14">
        <v>300</v>
      </c>
      <c r="LV46" s="70" t="s">
        <v>3143</v>
      </c>
      <c r="LW46" s="247">
        <v>3</v>
      </c>
      <c r="MB46" s="203">
        <v>10</v>
      </c>
      <c r="MC46" s="332" t="s">
        <v>3144</v>
      </c>
      <c r="MF46" s="293" t="s">
        <v>2687</v>
      </c>
      <c r="MG46" s="48">
        <f>SUM(MI41:MI42)</f>
        <v>1014.9799999999999</v>
      </c>
      <c r="MH46" s="120" t="s">
        <v>3145</v>
      </c>
      <c r="MI46" s="62">
        <f>208+49</f>
        <v>257</v>
      </c>
      <c r="MM46" s="61"/>
      <c r="MN46" s="203"/>
      <c r="MO46" s="607"/>
      <c r="MP46" s="14" t="s">
        <v>3026</v>
      </c>
      <c r="MT46" s="602"/>
      <c r="MU46" s="247"/>
      <c r="NH46" s="667" t="s">
        <v>3026</v>
      </c>
    </row>
    <row r="47" spans="1:375">
      <c r="AO47" s="14" t="s">
        <v>3147</v>
      </c>
      <c r="AP47" s="14">
        <v>25</v>
      </c>
      <c r="BX47" s="89"/>
      <c r="CD47" s="89"/>
      <c r="CJ47" s="89"/>
      <c r="DG47" s="127" t="s">
        <v>3148</v>
      </c>
      <c r="DH47" s="129"/>
      <c r="DI47" s="564" t="s">
        <v>2333</v>
      </c>
      <c r="DJ47" s="105"/>
      <c r="DL47" s="66"/>
      <c r="DM47" s="66" t="s">
        <v>3149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3150</v>
      </c>
      <c r="ES47" s="66"/>
      <c r="EX47" s="66"/>
      <c r="EY47" s="66"/>
      <c r="EZ47" s="109"/>
      <c r="FC47" s="17"/>
      <c r="FF47" s="14" t="s">
        <v>2446</v>
      </c>
      <c r="FL47" s="14" t="s">
        <v>2555</v>
      </c>
      <c r="FP47" s="175" t="s">
        <v>3151</v>
      </c>
      <c r="FQ47" s="54">
        <v>4.41</v>
      </c>
      <c r="FV47" s="14" t="s">
        <v>3152</v>
      </c>
      <c r="FW47" s="14">
        <v>52.15</v>
      </c>
      <c r="GB47" s="175" t="s">
        <v>3153</v>
      </c>
      <c r="GC47" s="66">
        <v>30.35</v>
      </c>
      <c r="GH47" s="14" t="s">
        <v>2807</v>
      </c>
      <c r="GI47" s="54">
        <v>638</v>
      </c>
      <c r="GN47" s="155" t="s">
        <v>3154</v>
      </c>
      <c r="GO47" s="157"/>
      <c r="GP47" s="14" t="s">
        <v>2573</v>
      </c>
      <c r="GT47" s="175" t="s">
        <v>3155</v>
      </c>
      <c r="GU47" s="66">
        <v>32.1</v>
      </c>
      <c r="GZ47" s="181">
        <v>30</v>
      </c>
      <c r="HA47" s="155" t="s">
        <v>3156</v>
      </c>
      <c r="HX47" s="47" t="s">
        <v>3157</v>
      </c>
      <c r="HY47" s="14">
        <f>40+150</f>
        <v>190</v>
      </c>
      <c r="ID47" s="188" t="s">
        <v>3158</v>
      </c>
      <c r="IE47" s="14">
        <v>54.8</v>
      </c>
      <c r="IH47" s="169" t="s">
        <v>2366</v>
      </c>
      <c r="II47" s="173">
        <f>SUM(IK16:IK23)</f>
        <v>1252.2433333333333</v>
      </c>
      <c r="IJ47" s="203">
        <v>7</v>
      </c>
      <c r="IK47" s="155" t="s">
        <v>3159</v>
      </c>
      <c r="IO47" s="234"/>
      <c r="IP47" s="170">
        <v>10</v>
      </c>
      <c r="IQ47" s="243" t="s">
        <v>3160</v>
      </c>
      <c r="IV47" s="195"/>
      <c r="IW47" s="195"/>
      <c r="JB47" s="74" t="s">
        <v>3161</v>
      </c>
      <c r="JC47" s="106">
        <v>36.9</v>
      </c>
      <c r="JH47" s="195" t="s">
        <v>3162</v>
      </c>
      <c r="JI47" s="154">
        <v>3</v>
      </c>
      <c r="JN47" s="74" t="s">
        <v>3163</v>
      </c>
      <c r="JO47" s="106">
        <v>8.5500000000000007</v>
      </c>
      <c r="JT47" s="268" t="s">
        <v>3164</v>
      </c>
      <c r="JU47" s="278">
        <v>19.46</v>
      </c>
      <c r="JZ47" s="14" t="s">
        <v>3165</v>
      </c>
      <c r="KA47" s="62">
        <v>300</v>
      </c>
      <c r="KE47" s="54"/>
      <c r="KK47" s="54"/>
      <c r="KL47" s="203">
        <v>24</v>
      </c>
      <c r="KM47" s="243" t="s">
        <v>3166</v>
      </c>
      <c r="KQ47" s="54"/>
      <c r="KR47" s="14" t="s">
        <v>3167</v>
      </c>
      <c r="KS47" s="14">
        <v>82.45</v>
      </c>
      <c r="KV47" s="91" t="s">
        <v>2736</v>
      </c>
      <c r="KW47" s="304">
        <f>SUM(KY15:KY23)</f>
        <v>1574</v>
      </c>
      <c r="KX47" s="152" t="s">
        <v>3168</v>
      </c>
      <c r="KY47" s="106">
        <v>5.8</v>
      </c>
      <c r="LB47" s="14" t="s">
        <v>3169</v>
      </c>
      <c r="LC47" s="54"/>
      <c r="LD47" s="203">
        <v>10</v>
      </c>
      <c r="LE47" s="243" t="s">
        <v>2625</v>
      </c>
      <c r="LJ47" s="203">
        <v>50</v>
      </c>
      <c r="LK47" s="21" t="s">
        <v>3137</v>
      </c>
      <c r="LP47" s="14" t="s">
        <v>3170</v>
      </c>
      <c r="LQ47" s="14">
        <v>27.5</v>
      </c>
      <c r="LV47" s="70"/>
      <c r="MB47" s="203">
        <v>10</v>
      </c>
      <c r="MC47" s="282" t="s">
        <v>3171</v>
      </c>
      <c r="MF47" s="120" t="s">
        <v>2789</v>
      </c>
      <c r="MG47" s="254">
        <f>SUM(MI43:MI46)</f>
        <v>526.97</v>
      </c>
      <c r="MH47" s="49" t="s">
        <v>2691</v>
      </c>
      <c r="MI47" s="106">
        <f>4+4+6</f>
        <v>14</v>
      </c>
      <c r="MM47" s="61"/>
      <c r="MN47" s="70" t="s">
        <v>3146</v>
      </c>
      <c r="MO47" s="247">
        <v>425.1</v>
      </c>
      <c r="MT47" s="602"/>
      <c r="MU47" s="62"/>
    </row>
    <row r="48" spans="1:375">
      <c r="AO48" s="14" t="s">
        <v>3172</v>
      </c>
      <c r="AP48" s="14">
        <v>508</v>
      </c>
      <c r="AU48" s="14" t="s">
        <v>2746</v>
      </c>
      <c r="AV48" s="14">
        <v>200</v>
      </c>
      <c r="DG48" s="127" t="s">
        <v>3173</v>
      </c>
      <c r="DH48" s="129"/>
      <c r="DI48" s="54" t="s">
        <v>197</v>
      </c>
      <c r="DJ48" s="62"/>
      <c r="DM48" s="66" t="s">
        <v>3174</v>
      </c>
      <c r="DN48" s="62">
        <v>34</v>
      </c>
      <c r="DO48" s="54"/>
      <c r="DP48" s="138">
        <v>21.78</v>
      </c>
      <c r="DS48" s="66" t="s">
        <v>3175</v>
      </c>
      <c r="DT48" s="62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4">
        <v>940</v>
      </c>
      <c r="FF48" s="14" t="s">
        <v>2573</v>
      </c>
      <c r="FL48" s="14" t="s">
        <v>2553</v>
      </c>
      <c r="FP48" s="175" t="s">
        <v>3176</v>
      </c>
      <c r="FQ48" s="66">
        <v>70.3</v>
      </c>
      <c r="FV48" s="14" t="s">
        <v>3177</v>
      </c>
      <c r="GH48" s="14" t="s">
        <v>3178</v>
      </c>
      <c r="GI48" s="66"/>
      <c r="GJ48" s="14" t="s">
        <v>2698</v>
      </c>
      <c r="GN48" s="155" t="s">
        <v>3179</v>
      </c>
      <c r="GO48" s="157"/>
      <c r="GT48" s="175" t="s">
        <v>3093</v>
      </c>
      <c r="GU48" s="14">
        <v>2.66</v>
      </c>
      <c r="GZ48" s="175" t="s">
        <v>3180</v>
      </c>
      <c r="HA48" s="66">
        <v>6</v>
      </c>
      <c r="HB48" s="109"/>
      <c r="HX48" s="215" t="s">
        <v>3181</v>
      </c>
      <c r="HY48" s="165">
        <v>150</v>
      </c>
      <c r="ID48" s="188" t="s">
        <v>3043</v>
      </c>
      <c r="IE48" s="14">
        <v>54.6</v>
      </c>
      <c r="IH48" s="152" t="s">
        <v>2428</v>
      </c>
      <c r="II48" s="173">
        <f>SUM(IK24:IK36)</f>
        <v>602.14</v>
      </c>
      <c r="IJ48" s="170">
        <f>-IK7</f>
        <v>-15</v>
      </c>
      <c r="IK48" s="155" t="s">
        <v>3182</v>
      </c>
      <c r="IP48" s="170">
        <f>17+11+6</f>
        <v>34</v>
      </c>
      <c r="IQ48" s="243" t="s">
        <v>3183</v>
      </c>
      <c r="IV48" s="187"/>
      <c r="IW48" s="195"/>
      <c r="JB48" s="74" t="s">
        <v>3134</v>
      </c>
      <c r="JC48" s="106">
        <v>13.3</v>
      </c>
      <c r="JH48" s="195"/>
      <c r="JI48" s="195"/>
      <c r="JN48" s="74" t="s">
        <v>3184</v>
      </c>
      <c r="JO48" s="106">
        <v>10.35</v>
      </c>
      <c r="JS48" s="269" t="s">
        <v>3185</v>
      </c>
      <c r="JT48" s="268" t="s">
        <v>3186</v>
      </c>
      <c r="JU48" s="279">
        <f>5.42+0.41+0.58+2.33+0.29+0.28+0.26+1.45+0.29+4.73+1.54</f>
        <v>17.579999999999998</v>
      </c>
      <c r="JZ48" s="49" t="s">
        <v>2382</v>
      </c>
      <c r="KA48" s="51">
        <f>670+187</f>
        <v>857</v>
      </c>
      <c r="KG48" s="66"/>
      <c r="KK48" s="54"/>
      <c r="KL48" s="203">
        <v>8</v>
      </c>
      <c r="KM48" s="243" t="s">
        <v>3187</v>
      </c>
      <c r="KR48" s="290" t="s">
        <v>3188</v>
      </c>
      <c r="KS48" s="247">
        <v>50</v>
      </c>
      <c r="KV48" s="293" t="s">
        <v>2678</v>
      </c>
      <c r="KW48" s="50">
        <f>SUM(KY25:KY32)</f>
        <v>699.97</v>
      </c>
      <c r="KX48" s="14" t="s">
        <v>2781</v>
      </c>
      <c r="KY48" s="62">
        <f>400+110</f>
        <v>510</v>
      </c>
      <c r="LB48" s="14" t="s">
        <v>3189</v>
      </c>
      <c r="LC48" s="54"/>
      <c r="LD48" s="203">
        <v>7</v>
      </c>
      <c r="LE48" s="243" t="s">
        <v>3190</v>
      </c>
      <c r="LJ48" s="203">
        <v>40</v>
      </c>
      <c r="LK48" s="21" t="s">
        <v>3191</v>
      </c>
      <c r="LP48" s="70" t="s">
        <v>3192</v>
      </c>
      <c r="LQ48" s="66">
        <v>21.1</v>
      </c>
      <c r="MB48" s="70" t="s">
        <v>3193</v>
      </c>
      <c r="MC48" s="247">
        <v>10.9</v>
      </c>
      <c r="MF48" s="326" t="s">
        <v>2428</v>
      </c>
      <c r="MG48" s="315">
        <f>SUM(MI19:MI40)</f>
        <v>3772.0500000000006</v>
      </c>
      <c r="MH48" s="49" t="s">
        <v>2382</v>
      </c>
      <c r="MI48" s="51">
        <f>307+231+53+83</f>
        <v>674</v>
      </c>
      <c r="MN48" s="70" t="s">
        <v>3413</v>
      </c>
      <c r="MO48" s="66">
        <v>48</v>
      </c>
      <c r="MU48" s="244"/>
    </row>
    <row r="49" spans="41:373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6"/>
      <c r="DG49" s="127" t="s">
        <v>3195</v>
      </c>
      <c r="DH49" s="129"/>
      <c r="DI49" s="14" t="s">
        <v>2446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3196</v>
      </c>
      <c r="EX49" s="14" t="s">
        <v>3197</v>
      </c>
      <c r="EY49" s="66"/>
      <c r="FL49" s="14" t="s">
        <v>197</v>
      </c>
      <c r="FP49" s="175" t="s">
        <v>3198</v>
      </c>
      <c r="FQ49" s="66">
        <v>206</v>
      </c>
      <c r="FV49" s="14" t="s">
        <v>2887</v>
      </c>
      <c r="FW49" s="14">
        <v>48</v>
      </c>
      <c r="GB49" s="14" t="s">
        <v>2807</v>
      </c>
      <c r="GC49" s="54">
        <v>1057</v>
      </c>
      <c r="GH49" s="14" t="s">
        <v>2887</v>
      </c>
      <c r="GI49" s="14">
        <v>72</v>
      </c>
      <c r="GJ49" s="109" t="s">
        <v>3199</v>
      </c>
      <c r="GN49" s="155" t="s">
        <v>3200</v>
      </c>
      <c r="GO49" s="157"/>
      <c r="GT49" s="175" t="s">
        <v>3201</v>
      </c>
      <c r="GU49" s="66">
        <v>60.6</v>
      </c>
      <c r="GV49" s="735" t="s">
        <v>3202</v>
      </c>
      <c r="GZ49" s="14" t="s">
        <v>3203</v>
      </c>
      <c r="HA49" s="183">
        <v>670.00099999999998</v>
      </c>
      <c r="HX49" s="216" t="s">
        <v>3204</v>
      </c>
      <c r="HY49" s="14">
        <f>389.7+107.1</f>
        <v>496.79999999999995</v>
      </c>
      <c r="ID49" s="188" t="s">
        <v>3205</v>
      </c>
      <c r="IE49" s="14">
        <v>195.81</v>
      </c>
      <c r="IH49" s="152" t="s">
        <v>2512</v>
      </c>
      <c r="II49" s="50">
        <f>SUM(IK27:IK36)</f>
        <v>428.43999999999994</v>
      </c>
      <c r="IJ49" s="170">
        <v>20</v>
      </c>
      <c r="IK49" s="155" t="s">
        <v>2418</v>
      </c>
      <c r="IP49" s="170">
        <v>20</v>
      </c>
      <c r="IQ49" s="243" t="s">
        <v>3206</v>
      </c>
      <c r="IV49" s="195"/>
      <c r="IW49" s="163"/>
      <c r="JB49" s="188"/>
      <c r="JC49" s="106"/>
      <c r="JH49" s="187"/>
      <c r="JI49" s="195"/>
      <c r="JN49" s="74" t="s">
        <v>3207</v>
      </c>
      <c r="JO49" s="106">
        <v>15.000999999999999</v>
      </c>
      <c r="JS49" s="270" t="s">
        <v>3208</v>
      </c>
      <c r="JT49" s="268" t="s">
        <v>3209</v>
      </c>
      <c r="JU49" s="280">
        <f>0.29*3</f>
        <v>0.86999999999999988</v>
      </c>
      <c r="JZ49" s="201">
        <v>47.04</v>
      </c>
      <c r="KA49" s="51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2" t="s">
        <v>2428</v>
      </c>
      <c r="KW49" s="50">
        <f>SUM(KY33:KY47)</f>
        <v>2538.3200000000002</v>
      </c>
      <c r="KX49" s="49" t="s">
        <v>2382</v>
      </c>
      <c r="KY49" s="51">
        <f>194+179+2</f>
        <v>375</v>
      </c>
      <c r="LD49" s="203">
        <v>30</v>
      </c>
      <c r="LE49" s="243" t="s">
        <v>3213</v>
      </c>
      <c r="LJ49" s="70" t="s">
        <v>3214</v>
      </c>
      <c r="LK49" s="48">
        <v>28.72</v>
      </c>
      <c r="LP49" s="70" t="s">
        <v>3215</v>
      </c>
      <c r="LQ49" s="62">
        <v>17.5</v>
      </c>
      <c r="LV49" s="70"/>
      <c r="LW49" s="66"/>
      <c r="MB49" s="70" t="s">
        <v>3216</v>
      </c>
      <c r="MC49" s="14">
        <v>14.4</v>
      </c>
      <c r="MF49" s="326" t="s">
        <v>2575</v>
      </c>
      <c r="MG49" s="315">
        <f>SUM(MI25:MI40)</f>
        <v>530.91999999999996</v>
      </c>
      <c r="MH49" s="331">
        <v>34.83</v>
      </c>
      <c r="MI49" s="51"/>
      <c r="MN49" s="70"/>
      <c r="MO49" s="247"/>
      <c r="MU49" s="598"/>
    </row>
    <row r="50" spans="41:373">
      <c r="AO50" s="14" t="s">
        <v>3217</v>
      </c>
      <c r="AP50" s="14">
        <v>810</v>
      </c>
      <c r="AU50" s="14" t="s">
        <v>2846</v>
      </c>
      <c r="AV50" s="14">
        <v>100</v>
      </c>
      <c r="DG50" s="127" t="s">
        <v>3218</v>
      </c>
      <c r="DH50" s="129"/>
      <c r="DI50" s="82" t="s">
        <v>2489</v>
      </c>
      <c r="DK50" s="66"/>
      <c r="DM50" s="49" t="s">
        <v>3219</v>
      </c>
      <c r="DN50" s="51">
        <v>700</v>
      </c>
      <c r="DO50" s="54"/>
      <c r="DP50" s="138">
        <v>15.35</v>
      </c>
      <c r="DQ50" s="66"/>
      <c r="DS50" s="49" t="s">
        <v>3220</v>
      </c>
      <c r="DT50" s="124">
        <v>0</v>
      </c>
      <c r="DU50" s="54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5" t="s">
        <v>3221</v>
      </c>
      <c r="FQ50" s="66">
        <v>45.6</v>
      </c>
      <c r="GB50" s="14" t="s">
        <v>3222</v>
      </c>
      <c r="GC50" s="66"/>
      <c r="GN50" s="155" t="s">
        <v>3223</v>
      </c>
      <c r="GO50" s="157"/>
      <c r="GP50" s="14" t="s">
        <v>2698</v>
      </c>
      <c r="GT50" s="175" t="s">
        <v>3224</v>
      </c>
      <c r="GU50" s="66">
        <v>14.9</v>
      </c>
      <c r="GV50" s="735"/>
      <c r="GZ50" s="183" t="s">
        <v>3225</v>
      </c>
      <c r="HX50" s="215" t="s">
        <v>3226</v>
      </c>
      <c r="HY50" s="204">
        <v>14.4</v>
      </c>
      <c r="ID50" s="188" t="s">
        <v>3227</v>
      </c>
      <c r="IE50" s="14">
        <v>50</v>
      </c>
      <c r="IH50" s="155" t="s">
        <v>3228</v>
      </c>
      <c r="II50" s="170">
        <v>300</v>
      </c>
      <c r="IJ50" s="170">
        <v>20</v>
      </c>
      <c r="IK50" s="155" t="s">
        <v>3229</v>
      </c>
      <c r="IP50" s="74" t="s">
        <v>3230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3231</v>
      </c>
      <c r="JO50" s="154">
        <v>7.67</v>
      </c>
      <c r="JS50" s="271"/>
      <c r="JT50" s="272" t="s">
        <v>3232</v>
      </c>
      <c r="JU50" s="279">
        <v>21.27</v>
      </c>
      <c r="JZ50" s="177" t="s">
        <v>2477</v>
      </c>
      <c r="KA50" s="202">
        <f>JW19+JY53+JY8-KC19</f>
        <v>280</v>
      </c>
      <c r="KL50" s="14" t="s">
        <v>3233</v>
      </c>
      <c r="KM50" s="14">
        <v>32.4</v>
      </c>
      <c r="KR50" s="49" t="s">
        <v>3234</v>
      </c>
      <c r="KS50" s="66">
        <v>25.8</v>
      </c>
      <c r="KV50" s="152" t="s">
        <v>2575</v>
      </c>
      <c r="KW50" s="262">
        <f>SUM(KY40:KY47)</f>
        <v>355.47</v>
      </c>
      <c r="KX50" s="201">
        <v>1.9</v>
      </c>
      <c r="KY50" s="51"/>
      <c r="LD50" s="290" t="s">
        <v>3235</v>
      </c>
      <c r="LE50" s="247">
        <f>7.77+2.71</f>
        <v>10.48</v>
      </c>
      <c r="LJ50" s="70" t="s">
        <v>3236</v>
      </c>
      <c r="LK50" s="48">
        <v>39.75</v>
      </c>
      <c r="LP50" s="70" t="s">
        <v>3237</v>
      </c>
      <c r="LQ50" s="247">
        <v>5.5</v>
      </c>
      <c r="LV50" s="70"/>
      <c r="LW50" s="62"/>
      <c r="MB50" s="70" t="s">
        <v>3238</v>
      </c>
      <c r="MC50" s="62">
        <v>4.4800000000000004</v>
      </c>
      <c r="MH50" s="177" t="s">
        <v>2477</v>
      </c>
      <c r="MI50" s="22">
        <f>ME25+MG51-MK28</f>
        <v>140</v>
      </c>
      <c r="MN50" s="70"/>
      <c r="MO50" s="62"/>
    </row>
    <row r="51" spans="41:373">
      <c r="AO51" s="14" t="s">
        <v>3239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3240</v>
      </c>
      <c r="DO51" s="54"/>
      <c r="DP51" s="138">
        <v>12.7</v>
      </c>
      <c r="DQ51" s="66"/>
      <c r="DS51" s="49" t="s">
        <v>2807</v>
      </c>
      <c r="DT51" s="51">
        <v>590</v>
      </c>
      <c r="FL51" s="14" t="s">
        <v>2573</v>
      </c>
      <c r="FP51" s="74" t="s">
        <v>3241</v>
      </c>
      <c r="FQ51" s="74"/>
      <c r="GB51" s="14" t="s">
        <v>2887</v>
      </c>
      <c r="GC51" s="14">
        <v>100</v>
      </c>
      <c r="GN51" s="175" t="s">
        <v>3242</v>
      </c>
      <c r="GO51" s="66">
        <f>360+18</f>
        <v>378</v>
      </c>
      <c r="GP51" s="109" t="s">
        <v>3199</v>
      </c>
      <c r="GT51" s="175" t="s">
        <v>3243</v>
      </c>
      <c r="GU51" s="66">
        <v>55.29</v>
      </c>
      <c r="GV51" s="735"/>
      <c r="GZ51" s="14" t="s">
        <v>3100</v>
      </c>
      <c r="HA51" s="66">
        <v>50.000999999999998</v>
      </c>
      <c r="HX51" s="216" t="s">
        <v>3244</v>
      </c>
      <c r="HY51" s="14">
        <v>17.88</v>
      </c>
      <c r="ID51" s="188" t="s">
        <v>3245</v>
      </c>
      <c r="IE51" s="14">
        <v>26.8</v>
      </c>
      <c r="IJ51" s="203">
        <v>10</v>
      </c>
      <c r="IK51" s="21" t="s">
        <v>2426</v>
      </c>
      <c r="IP51" s="74" t="s">
        <v>3133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3246</v>
      </c>
      <c r="JO51" s="154">
        <v>3</v>
      </c>
      <c r="JT51" s="273" t="s">
        <v>3247</v>
      </c>
      <c r="JU51" s="281"/>
      <c r="JZ51" s="203">
        <v>34</v>
      </c>
      <c r="KA51" s="282" t="s">
        <v>3248</v>
      </c>
      <c r="KL51" s="290" t="s">
        <v>3249</v>
      </c>
      <c r="KM51" s="302">
        <v>1746</v>
      </c>
      <c r="KR51" s="290" t="s">
        <v>3250</v>
      </c>
      <c r="KS51" s="247">
        <v>19.07</v>
      </c>
      <c r="KX51" s="177" t="s">
        <v>2477</v>
      </c>
      <c r="KY51" s="202">
        <f>KU26+KW52-LA25</f>
        <v>210</v>
      </c>
      <c r="LD51" s="14" t="s">
        <v>3251</v>
      </c>
      <c r="LE51" s="14">
        <v>6.3</v>
      </c>
      <c r="LJ51" s="290" t="s">
        <v>3252</v>
      </c>
      <c r="LK51" s="247">
        <v>810</v>
      </c>
      <c r="LV51" s="70"/>
      <c r="LW51" s="247"/>
      <c r="MB51" s="14" t="s">
        <v>3253</v>
      </c>
      <c r="MC51" s="185">
        <v>523.20000000000005</v>
      </c>
      <c r="MF51" s="157" t="s">
        <v>3254</v>
      </c>
      <c r="MG51" s="316">
        <v>100</v>
      </c>
      <c r="MH51" s="203">
        <v>20</v>
      </c>
      <c r="MI51" s="22" t="s">
        <v>2418</v>
      </c>
      <c r="MO51" s="244"/>
    </row>
    <row r="52" spans="41:373">
      <c r="AO52" s="14" t="s">
        <v>3255</v>
      </c>
      <c r="AP52" s="14">
        <v>12.9</v>
      </c>
      <c r="DG52" s="66" t="s">
        <v>3256</v>
      </c>
      <c r="DH52" s="62">
        <v>120</v>
      </c>
      <c r="DI52" s="74" t="s">
        <v>2573</v>
      </c>
      <c r="DK52" s="66"/>
      <c r="DM52" s="49" t="s">
        <v>2887</v>
      </c>
      <c r="DN52" s="51">
        <v>50</v>
      </c>
      <c r="DO52" s="54"/>
      <c r="DP52" s="138">
        <v>11.6</v>
      </c>
      <c r="DQ52" s="66"/>
      <c r="DS52" s="49" t="s">
        <v>3257</v>
      </c>
      <c r="FF52" s="109"/>
      <c r="FP52" s="175" t="s">
        <v>3258</v>
      </c>
      <c r="FQ52" s="66">
        <v>29.95</v>
      </c>
      <c r="GN52" s="175" t="s">
        <v>3259</v>
      </c>
      <c r="GO52" s="14">
        <v>38.9</v>
      </c>
      <c r="GU52" s="66"/>
      <c r="GV52" s="735"/>
      <c r="HF52" s="54"/>
      <c r="HX52" s="216" t="s">
        <v>3260</v>
      </c>
      <c r="HY52" s="14">
        <v>23.86</v>
      </c>
      <c r="IJ52" s="74" t="s">
        <v>3261</v>
      </c>
      <c r="IK52" s="102">
        <f>161+14</f>
        <v>175</v>
      </c>
      <c r="IP52" s="74" t="s">
        <v>3262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2527</v>
      </c>
      <c r="KV52" s="157" t="s">
        <v>3263</v>
      </c>
      <c r="KW52" s="289">
        <v>200</v>
      </c>
      <c r="KX52" s="203">
        <v>20</v>
      </c>
      <c r="KY52" s="282" t="s">
        <v>3264</v>
      </c>
      <c r="LD52" s="290" t="s">
        <v>3265</v>
      </c>
      <c r="LE52" s="247">
        <v>6.8</v>
      </c>
      <c r="LJ52" s="14" t="s">
        <v>3266</v>
      </c>
      <c r="LK52" s="48">
        <v>680</v>
      </c>
      <c r="LQ52" s="244"/>
      <c r="MB52" s="333" t="s">
        <v>3267</v>
      </c>
      <c r="MC52" s="62">
        <f>3.5+2.2</f>
        <v>5.7</v>
      </c>
      <c r="MH52" s="203">
        <v>10</v>
      </c>
      <c r="MI52" s="282" t="s">
        <v>3268</v>
      </c>
      <c r="MO52" s="66"/>
    </row>
    <row r="53" spans="41:373">
      <c r="DA53" s="66"/>
      <c r="DB53" s="66"/>
      <c r="DC53" s="54"/>
      <c r="DD53" s="61"/>
      <c r="DG53" s="66" t="s">
        <v>3269</v>
      </c>
      <c r="DH53" s="62">
        <v>143.96</v>
      </c>
      <c r="DK53" s="66"/>
      <c r="DO53" s="54"/>
      <c r="DP53" s="138">
        <v>2</v>
      </c>
      <c r="DQ53" s="66"/>
      <c r="DS53" s="49" t="s">
        <v>2887</v>
      </c>
      <c r="DT53" s="51">
        <v>80</v>
      </c>
      <c r="FP53" s="175" t="s">
        <v>3270</v>
      </c>
      <c r="FQ53" s="66">
        <v>120</v>
      </c>
      <c r="GN53" s="175" t="s">
        <v>3271</v>
      </c>
      <c r="GO53" s="66">
        <v>33</v>
      </c>
      <c r="GT53" s="14" t="s">
        <v>3203</v>
      </c>
      <c r="GU53" s="184">
        <v>900</v>
      </c>
      <c r="HB53" s="54"/>
      <c r="HC53" s="54"/>
      <c r="HD53" s="54"/>
      <c r="HE53" s="54"/>
      <c r="HF53" s="54"/>
      <c r="HX53" s="216" t="s">
        <v>3272</v>
      </c>
      <c r="HY53" s="14">
        <v>19.89</v>
      </c>
      <c r="ID53" s="214" t="s">
        <v>3101</v>
      </c>
      <c r="IE53" s="214"/>
      <c r="II53" s="232"/>
      <c r="IJ53" s="74" t="s">
        <v>3273</v>
      </c>
      <c r="IK53" s="102">
        <v>87.8</v>
      </c>
      <c r="IP53" s="187" t="s">
        <v>3274</v>
      </c>
      <c r="IQ53" s="106">
        <v>84.9</v>
      </c>
      <c r="IV53" s="188"/>
      <c r="JB53" s="195"/>
      <c r="JC53" s="154"/>
      <c r="JH53" s="188"/>
      <c r="JI53" s="195"/>
      <c r="JX53" s="157" t="s">
        <v>3275</v>
      </c>
      <c r="JY53" s="170">
        <v>200</v>
      </c>
      <c r="JZ53" s="203">
        <v>7</v>
      </c>
      <c r="KA53" s="243" t="s">
        <v>2848</v>
      </c>
      <c r="KL53" s="290"/>
      <c r="KM53" s="247"/>
      <c r="KX53" s="203">
        <v>10</v>
      </c>
      <c r="KY53" s="243" t="s">
        <v>3276</v>
      </c>
      <c r="LD53" s="14" t="s">
        <v>3277</v>
      </c>
      <c r="LE53" s="14">
        <f>53.6+6.5</f>
        <v>60.1</v>
      </c>
      <c r="LJ53" s="14" t="s">
        <v>3278</v>
      </c>
      <c r="LK53" s="247">
        <v>262</v>
      </c>
      <c r="LQ53" s="66"/>
      <c r="LW53" s="244"/>
      <c r="MB53" s="70" t="s">
        <v>3279</v>
      </c>
      <c r="MC53" s="247">
        <v>15.5</v>
      </c>
      <c r="MG53" s="61"/>
      <c r="MH53" s="203">
        <v>20</v>
      </c>
      <c r="MI53" s="282" t="s">
        <v>3280</v>
      </c>
    </row>
    <row r="54" spans="41:373">
      <c r="DA54" s="66"/>
      <c r="DB54" s="66"/>
      <c r="DC54" s="54"/>
      <c r="DD54" s="61"/>
      <c r="DG54" s="49" t="s">
        <v>3281</v>
      </c>
      <c r="DH54" s="51">
        <v>51</v>
      </c>
      <c r="DK54" s="66"/>
      <c r="DO54" s="54"/>
      <c r="DP54" s="138">
        <v>28.8</v>
      </c>
      <c r="DQ54" s="66"/>
      <c r="FP54" s="175" t="s">
        <v>3282</v>
      </c>
      <c r="FQ54" s="66">
        <v>108.12</v>
      </c>
      <c r="GO54" s="66"/>
      <c r="GT54" s="184" t="s">
        <v>3283</v>
      </c>
      <c r="HB54" s="54"/>
      <c r="HC54" s="54"/>
      <c r="HD54" s="191"/>
      <c r="HE54" s="54"/>
      <c r="HF54" s="54"/>
      <c r="HX54" s="216" t="s">
        <v>3284</v>
      </c>
      <c r="HY54" s="14">
        <f>30.9+469.82+100.14+34.91</f>
        <v>635.77</v>
      </c>
      <c r="ID54" s="47" t="s">
        <v>3285</v>
      </c>
      <c r="IE54" s="14">
        <f>30+139.5</f>
        <v>169.5</v>
      </c>
      <c r="II54" s="232"/>
      <c r="IJ54" s="74" t="s">
        <v>3286</v>
      </c>
      <c r="IK54" s="102">
        <f>40.6+11.5</f>
        <v>52.1</v>
      </c>
      <c r="IP54" s="188" t="s">
        <v>3287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3288</v>
      </c>
      <c r="KS54" s="66"/>
      <c r="KW54" s="54"/>
      <c r="KX54" s="203">
        <v>10</v>
      </c>
      <c r="KY54" s="243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6"/>
      <c r="MB54" s="70" t="s">
        <v>3291</v>
      </c>
      <c r="MC54" s="66">
        <v>42.9</v>
      </c>
      <c r="MG54" s="61"/>
      <c r="MH54" s="203">
        <v>90</v>
      </c>
      <c r="MI54" s="282" t="s">
        <v>3292</v>
      </c>
    </row>
    <row r="55" spans="41:373">
      <c r="AO55" s="14" t="s">
        <v>3293</v>
      </c>
      <c r="AP55" s="14">
        <v>600</v>
      </c>
      <c r="DA55" s="66"/>
      <c r="DB55" s="66"/>
      <c r="DC55" s="54"/>
      <c r="DD55" s="61"/>
      <c r="DE55" s="66"/>
      <c r="DG55" s="66" t="s">
        <v>3294</v>
      </c>
      <c r="DH55" s="51">
        <f>500+356</f>
        <v>856</v>
      </c>
      <c r="DI55" s="109" t="s">
        <v>3199</v>
      </c>
      <c r="DK55" s="66"/>
      <c r="DO55" s="54"/>
      <c r="DP55" s="138">
        <v>25.5</v>
      </c>
      <c r="DQ55" s="66"/>
      <c r="FL55" s="109"/>
      <c r="GN55" s="14" t="s">
        <v>2807</v>
      </c>
      <c r="GO55" s="14">
        <v>800</v>
      </c>
      <c r="GT55" s="14" t="s">
        <v>3100</v>
      </c>
      <c r="GU55" s="66">
        <v>44</v>
      </c>
      <c r="HB55" s="54"/>
      <c r="HC55" s="54"/>
      <c r="HD55" s="191"/>
      <c r="HE55" s="54"/>
      <c r="HF55" s="54"/>
      <c r="HX55" s="14" t="s">
        <v>3295</v>
      </c>
      <c r="HY55" s="14">
        <v>7329.5</v>
      </c>
      <c r="ID55" s="47" t="s">
        <v>3296</v>
      </c>
      <c r="IE55" s="14">
        <v>15.32</v>
      </c>
      <c r="II55" s="234"/>
      <c r="IJ55" s="74" t="s">
        <v>3297</v>
      </c>
      <c r="IK55" s="102">
        <v>10.49</v>
      </c>
      <c r="IP55" s="188" t="s">
        <v>3298</v>
      </c>
      <c r="IQ55" s="106"/>
      <c r="IV55" s="188"/>
      <c r="JB55" s="187"/>
      <c r="JC55" s="195"/>
      <c r="JH55" s="188"/>
      <c r="JZ55" s="203">
        <v>20</v>
      </c>
      <c r="KA55" s="243" t="s">
        <v>3299</v>
      </c>
      <c r="KW55" s="54"/>
      <c r="KX55" s="203">
        <v>40</v>
      </c>
      <c r="KY55" s="243" t="s">
        <v>3300</v>
      </c>
      <c r="LE55" s="66"/>
      <c r="LJ55" s="14" t="s">
        <v>3301</v>
      </c>
      <c r="LK55" s="66">
        <v>49</v>
      </c>
      <c r="MC55" s="244"/>
      <c r="MH55" s="70" t="s">
        <v>3302</v>
      </c>
      <c r="MI55" s="247">
        <v>7.8</v>
      </c>
    </row>
    <row r="56" spans="41:373">
      <c r="AO56" s="14" t="s">
        <v>3303</v>
      </c>
      <c r="AP56" s="14">
        <v>300</v>
      </c>
      <c r="DA56" s="66"/>
      <c r="DB56" s="66"/>
      <c r="DC56" s="130"/>
      <c r="DD56" s="131"/>
      <c r="DE56" s="66"/>
      <c r="DG56" s="66" t="s">
        <v>3304</v>
      </c>
      <c r="DH56" s="51">
        <v>30</v>
      </c>
      <c r="DK56" s="66"/>
      <c r="DO56" s="54" t="s">
        <v>3305</v>
      </c>
      <c r="DP56" s="138">
        <v>-1122.52</v>
      </c>
      <c r="DQ56" s="66"/>
      <c r="FP56" s="14" t="s">
        <v>2807</v>
      </c>
      <c r="FQ56" s="54">
        <v>753.05</v>
      </c>
      <c r="GN56" s="14" t="s">
        <v>3306</v>
      </c>
      <c r="GO56" s="54"/>
      <c r="HB56" s="54"/>
      <c r="HC56" s="54"/>
      <c r="HD56" s="191"/>
      <c r="HE56" s="54"/>
      <c r="HF56" s="54"/>
      <c r="HX56" s="188"/>
      <c r="ID56" s="215" t="s">
        <v>3307</v>
      </c>
      <c r="IE56" s="165">
        <v>67.61</v>
      </c>
      <c r="IJ56" s="74" t="s">
        <v>3284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3308</v>
      </c>
      <c r="KM56" s="66"/>
      <c r="KX56" s="203">
        <v>20</v>
      </c>
      <c r="KY56" s="243" t="s">
        <v>3309</v>
      </c>
      <c r="MC56" s="66"/>
      <c r="MH56" s="70" t="s">
        <v>3310</v>
      </c>
      <c r="MI56" s="14">
        <f>327+98.1</f>
        <v>425.1</v>
      </c>
    </row>
    <row r="57" spans="41:373">
      <c r="DA57" s="66"/>
      <c r="DB57" s="66"/>
      <c r="DC57" s="54"/>
      <c r="DD57" s="61"/>
      <c r="DE57" s="66"/>
      <c r="DG57" s="49" t="s">
        <v>3311</v>
      </c>
      <c r="DH57" s="51">
        <v>30</v>
      </c>
      <c r="DK57" s="66"/>
      <c r="DO57" s="54" t="s">
        <v>3312</v>
      </c>
      <c r="DP57" s="138">
        <f>SUM(DP44:DP56)</f>
        <v>1647.79</v>
      </c>
      <c r="DQ57" s="66"/>
      <c r="FP57" s="14" t="s">
        <v>3313</v>
      </c>
      <c r="FQ57" s="66"/>
      <c r="GN57" s="14" t="s">
        <v>2887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3314</v>
      </c>
      <c r="IE57" s="217">
        <v>-25.98</v>
      </c>
      <c r="IJ57" s="214" t="s">
        <v>3315</v>
      </c>
      <c r="IK57" s="214"/>
      <c r="IP57" s="188" t="s">
        <v>3316</v>
      </c>
      <c r="IQ57" s="244">
        <v>22.2</v>
      </c>
      <c r="JB57" s="188"/>
      <c r="JC57" s="245"/>
      <c r="JZ57" s="203">
        <v>6</v>
      </c>
      <c r="KA57" s="243" t="s">
        <v>3317</v>
      </c>
      <c r="KX57" s="203">
        <v>10</v>
      </c>
      <c r="KY57" s="243" t="s">
        <v>3318</v>
      </c>
      <c r="MH57" s="70" t="s">
        <v>3319</v>
      </c>
      <c r="MI57" s="66">
        <v>87.04</v>
      </c>
    </row>
    <row r="58" spans="41:373">
      <c r="DA58" s="66"/>
      <c r="DB58" s="66"/>
      <c r="DC58" s="54"/>
      <c r="DD58" s="61"/>
      <c r="DE58" s="66"/>
      <c r="DG58" s="49" t="s">
        <v>3320</v>
      </c>
      <c r="DH58" s="51">
        <v>58.2</v>
      </c>
      <c r="DK58" s="66"/>
      <c r="DQ58" s="66"/>
      <c r="FP58" s="14" t="s">
        <v>2887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3321</v>
      </c>
      <c r="IE58" s="14">
        <v>8.8000000000000007</v>
      </c>
      <c r="IJ58" s="188" t="s">
        <v>3322</v>
      </c>
      <c r="IK58" s="14">
        <v>150</v>
      </c>
      <c r="IP58" s="195" t="s">
        <v>3323</v>
      </c>
      <c r="IQ58" s="154">
        <v>22.6</v>
      </c>
      <c r="JB58" s="188"/>
      <c r="JC58" s="195"/>
      <c r="JZ58" s="203">
        <v>50</v>
      </c>
      <c r="KA58" s="243" t="s">
        <v>2418</v>
      </c>
      <c r="KX58" s="203">
        <v>10</v>
      </c>
      <c r="KY58" s="243" t="s">
        <v>2837</v>
      </c>
      <c r="ME58" s="20"/>
      <c r="MH58" s="333" t="s">
        <v>3324</v>
      </c>
      <c r="MI58" s="247">
        <v>40</v>
      </c>
      <c r="NC58" s="20"/>
    </row>
    <row r="59" spans="41:373">
      <c r="DA59" s="66"/>
      <c r="DB59" s="66"/>
      <c r="DC59" s="54"/>
      <c r="DD59" s="131"/>
      <c r="DE59" s="66"/>
      <c r="DG59" s="49" t="s">
        <v>3325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3326</v>
      </c>
      <c r="IE59" s="14">
        <f>2000+1311.79</f>
        <v>3311.79</v>
      </c>
      <c r="IJ59" s="188" t="s">
        <v>3321</v>
      </c>
      <c r="IK59" s="14">
        <v>5.4</v>
      </c>
      <c r="IP59" s="195"/>
      <c r="IQ59" s="195"/>
      <c r="JB59" s="188"/>
      <c r="JC59" s="195"/>
      <c r="JW59" s="20"/>
      <c r="JZ59" s="14" t="s">
        <v>3327</v>
      </c>
      <c r="KA59" s="14">
        <v>31.001000000000001</v>
      </c>
      <c r="KC59" s="20"/>
      <c r="KX59" s="203">
        <v>8</v>
      </c>
      <c r="KY59" s="243" t="s">
        <v>3090</v>
      </c>
      <c r="LG59" s="20"/>
      <c r="MH59" s="70" t="s">
        <v>3328</v>
      </c>
      <c r="MI59" s="62">
        <v>14.4</v>
      </c>
    </row>
    <row r="60" spans="41:373">
      <c r="DA60" s="66"/>
      <c r="DB60" s="66"/>
      <c r="DC60" s="54"/>
      <c r="DD60" s="61"/>
      <c r="DE60" s="66"/>
      <c r="DG60" s="49" t="s">
        <v>3329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3330</v>
      </c>
      <c r="KA60" s="185">
        <f>30/5.217</f>
        <v>5.7504312823461765</v>
      </c>
      <c r="KX60" s="203">
        <v>10</v>
      </c>
      <c r="KY60" s="243" t="s">
        <v>3331</v>
      </c>
      <c r="MI60" s="244"/>
    </row>
    <row r="61" spans="41:373">
      <c r="DA61" s="66"/>
      <c r="DB61" s="66"/>
      <c r="DC61" s="54"/>
      <c r="DD61" s="61"/>
      <c r="DE61" s="66"/>
      <c r="DG61" s="49" t="s">
        <v>3332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3333</v>
      </c>
      <c r="KA61" s="14">
        <v>21.81</v>
      </c>
      <c r="KX61" s="203">
        <v>40</v>
      </c>
      <c r="KY61" s="243" t="s">
        <v>3334</v>
      </c>
      <c r="LA61" s="20"/>
      <c r="MI61" s="66"/>
      <c r="MW61" s="20"/>
    </row>
    <row r="62" spans="41:373">
      <c r="DE62" s="66"/>
      <c r="DG62" s="49" t="s">
        <v>3335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3336</v>
      </c>
      <c r="KA62" s="14">
        <v>11.25</v>
      </c>
      <c r="KU62" s="20"/>
      <c r="KX62" s="290" t="s">
        <v>3216</v>
      </c>
      <c r="KY62" s="247">
        <v>14.4</v>
      </c>
      <c r="LM62" s="20"/>
    </row>
    <row r="63" spans="41:373">
      <c r="DE63" s="66"/>
      <c r="DG63" s="49" t="s">
        <v>3337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2951</v>
      </c>
      <c r="KA63" s="14">
        <v>117.5</v>
      </c>
      <c r="LS63" s="20"/>
      <c r="LY63" s="20"/>
      <c r="MQ63" s="20"/>
      <c r="NI63" s="20"/>
    </row>
    <row r="64" spans="41:373">
      <c r="DG64" s="49" t="s">
        <v>2796</v>
      </c>
      <c r="DH64" s="51">
        <v>1500</v>
      </c>
      <c r="ID64" s="188"/>
      <c r="IP64" s="188"/>
      <c r="IQ64" s="195"/>
      <c r="IY64" s="20"/>
      <c r="JE64" s="20"/>
      <c r="JZ64" s="14" t="s">
        <v>3338</v>
      </c>
      <c r="KA64" s="14">
        <v>36.200000000000003</v>
      </c>
      <c r="KX64" s="290"/>
      <c r="KY64" s="247"/>
      <c r="MK64" s="20"/>
    </row>
    <row r="65" spans="205:311">
      <c r="IP65" s="188"/>
      <c r="JK65" s="20"/>
      <c r="JQ65" s="20"/>
      <c r="JZ65" s="54" t="s">
        <v>3339</v>
      </c>
      <c r="KA65" s="14">
        <v>9.8000000000000007</v>
      </c>
    </row>
    <row r="66" spans="205:311">
      <c r="IJ66" s="187"/>
      <c r="IK66" s="165"/>
      <c r="IP66" s="188"/>
      <c r="JZ66" s="14" t="s">
        <v>3340</v>
      </c>
      <c r="KA66" s="14">
        <v>9.77</v>
      </c>
    </row>
    <row r="67" spans="205:311">
      <c r="IK67" s="217"/>
      <c r="IM67" s="20"/>
      <c r="IP67" s="188"/>
      <c r="IS67" s="20"/>
      <c r="JZ67" s="14" t="s">
        <v>3341</v>
      </c>
      <c r="KA67" s="14">
        <v>11.9</v>
      </c>
      <c r="KI67" s="20"/>
      <c r="KO67" s="20"/>
      <c r="KY67" s="66"/>
    </row>
    <row r="68" spans="205:311">
      <c r="IJ68" s="188"/>
      <c r="IP68" s="188"/>
      <c r="JY68" s="14" t="s">
        <v>2949</v>
      </c>
      <c r="JZ68" s="14" t="s">
        <v>3342</v>
      </c>
      <c r="KA68" s="14">
        <v>6.62</v>
      </c>
    </row>
    <row r="69" spans="205:311">
      <c r="HO69" s="20"/>
      <c r="IG69" s="20"/>
      <c r="IJ69" s="188"/>
      <c r="JZ69" s="257" t="s">
        <v>3343</v>
      </c>
      <c r="KA69" s="14">
        <v>69</v>
      </c>
    </row>
    <row r="70" spans="205:311">
      <c r="IJ70" s="188"/>
      <c r="JZ70" s="257" t="s">
        <v>3344</v>
      </c>
      <c r="KA70" s="14">
        <v>8</v>
      </c>
    </row>
    <row r="71" spans="205:311">
      <c r="IJ71" s="188"/>
      <c r="JZ71" s="339" t="s">
        <v>3345</v>
      </c>
      <c r="KA71" s="66">
        <v>29.7</v>
      </c>
    </row>
    <row r="72" spans="205:311">
      <c r="IJ72" s="188"/>
      <c r="JZ72" s="257" t="s">
        <v>3346</v>
      </c>
      <c r="KA72" s="14">
        <v>8.1999999999999993</v>
      </c>
    </row>
    <row r="73" spans="205:311">
      <c r="IJ73" s="188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8"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4"/>
  <sheetViews>
    <sheetView workbookViewId="0">
      <selection activeCell="F26" sqref="F26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3363</v>
      </c>
    </row>
    <row r="2" spans="2:3">
      <c r="B2" s="39"/>
      <c r="C2" s="634"/>
    </row>
    <row r="3" spans="2:3">
      <c r="B3" s="39">
        <v>12000</v>
      </c>
      <c r="C3" s="634">
        <v>45552</v>
      </c>
    </row>
    <row r="4" spans="2:3">
      <c r="B4" s="39">
        <v>14000</v>
      </c>
      <c r="C4" s="634">
        <v>45566</v>
      </c>
    </row>
    <row r="5" spans="2:3">
      <c r="B5" s="39">
        <v>8000</v>
      </c>
      <c r="C5" s="634">
        <v>45580</v>
      </c>
    </row>
    <row r="6" spans="2:3">
      <c r="B6" s="39">
        <v>5000</v>
      </c>
      <c r="C6" s="634">
        <v>45594</v>
      </c>
    </row>
    <row r="7" spans="2:3">
      <c r="B7" s="39">
        <v>6000</v>
      </c>
      <c r="C7" s="634">
        <v>45608</v>
      </c>
    </row>
    <row r="8" spans="2:3">
      <c r="B8" s="39">
        <v>6000</v>
      </c>
      <c r="C8" s="634">
        <v>45636</v>
      </c>
    </row>
    <row r="9" spans="2:3" s="584" customFormat="1">
      <c r="B9" s="39">
        <v>8000</v>
      </c>
      <c r="C9" s="634">
        <v>45650</v>
      </c>
    </row>
    <row r="10" spans="2:3" s="626" customFormat="1">
      <c r="B10" s="39">
        <v>12000</v>
      </c>
      <c r="C10" s="634">
        <v>45664</v>
      </c>
    </row>
    <row r="11" spans="2:3" s="626" customFormat="1">
      <c r="B11" s="39">
        <v>18000</v>
      </c>
      <c r="C11" s="634">
        <v>45678</v>
      </c>
    </row>
    <row r="12" spans="2:3">
      <c r="B12" s="41"/>
      <c r="C12" s="635"/>
    </row>
    <row r="13" spans="2:3">
      <c r="B13" s="42">
        <f>SUM(B2:B12)</f>
        <v>89000</v>
      </c>
      <c r="C13" t="s">
        <v>1098</v>
      </c>
    </row>
    <row r="14" spans="2:3">
      <c r="B14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J46"/>
  <sheetViews>
    <sheetView topLeftCell="W1" workbookViewId="0">
      <selection activeCell="AJ29" sqref="AJ29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3" max="33" width="2.28515625" style="632" customWidth="1"/>
    <col min="34" max="34" width="11.42578125" style="632" customWidth="1"/>
    <col min="35" max="35" width="3.42578125" style="632" bestFit="1" customWidth="1"/>
    <col min="36" max="36" width="7.5703125" style="632" customWidth="1"/>
  </cols>
  <sheetData>
    <row r="1" spans="2:36" ht="5.45" customHeight="1"/>
    <row r="2" spans="2:36">
      <c r="D2" t="s">
        <v>3364</v>
      </c>
      <c r="G2" t="s">
        <v>532</v>
      </c>
      <c r="H2" t="s">
        <v>3364</v>
      </c>
      <c r="K2" t="s">
        <v>532</v>
      </c>
      <c r="L2" t="s">
        <v>3364</v>
      </c>
      <c r="O2" t="s">
        <v>532</v>
      </c>
      <c r="R2" s="29" t="s">
        <v>148</v>
      </c>
      <c r="S2" t="s">
        <v>532</v>
      </c>
      <c r="T2" t="s">
        <v>3364</v>
      </c>
      <c r="V2" s="29" t="s">
        <v>148</v>
      </c>
      <c r="W2" t="s">
        <v>532</v>
      </c>
      <c r="X2" s="30" t="s">
        <v>3364</v>
      </c>
      <c r="Z2" s="29" t="s">
        <v>148</v>
      </c>
      <c r="AA2" t="s">
        <v>532</v>
      </c>
      <c r="AB2" t="s">
        <v>3364</v>
      </c>
      <c r="AD2" s="29" t="s">
        <v>1482</v>
      </c>
      <c r="AE2" s="632" t="s">
        <v>532</v>
      </c>
      <c r="AF2" s="632" t="s">
        <v>3364</v>
      </c>
      <c r="AH2" s="29" t="s">
        <v>1482</v>
      </c>
      <c r="AI2" s="632" t="s">
        <v>532</v>
      </c>
      <c r="AJ2" s="632" t="s">
        <v>3364</v>
      </c>
    </row>
    <row r="3" spans="2:36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  <c r="AD3" s="29"/>
      <c r="AE3" s="632"/>
      <c r="AF3" s="31"/>
      <c r="AH3" s="29">
        <v>45443</v>
      </c>
      <c r="AI3" s="632">
        <v>61</v>
      </c>
      <c r="AJ3" s="31">
        <f t="shared" ref="AJ3:AJ33" si="6">AI3*1000*3.45%/365</f>
        <v>5.7657534246575342</v>
      </c>
    </row>
    <row r="4" spans="2:36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  <c r="AD4" s="29">
        <v>45412</v>
      </c>
      <c r="AE4" s="632">
        <v>43</v>
      </c>
      <c r="AF4" s="31">
        <f>AE4*1000*3.4%/365</f>
        <v>4.0054794520547947</v>
      </c>
      <c r="AH4" s="29">
        <v>45442</v>
      </c>
      <c r="AI4" s="632">
        <v>56</v>
      </c>
      <c r="AJ4" s="31">
        <f>AI4*1000*3.45%/365</f>
        <v>5.2931506849315078</v>
      </c>
    </row>
    <row r="5" spans="2:36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7">W5*1000*3.7%/365</f>
        <v>28.789041095890415</v>
      </c>
      <c r="Z5" s="29">
        <v>45380</v>
      </c>
      <c r="AA5">
        <v>241</v>
      </c>
      <c r="AB5" s="31">
        <f t="shared" si="5"/>
        <v>24.430136986301374</v>
      </c>
      <c r="AD5" s="29">
        <v>45411</v>
      </c>
      <c r="AE5" s="632">
        <v>28</v>
      </c>
      <c r="AF5" s="31">
        <f t="shared" ref="AF5:AF33" si="8">AE5*1000*3.45%/365</f>
        <v>2.6465753424657539</v>
      </c>
      <c r="AH5" s="29">
        <v>45441</v>
      </c>
      <c r="AI5" s="632">
        <v>54</v>
      </c>
      <c r="AJ5" s="31">
        <f t="shared" si="6"/>
        <v>5.1041095890410961</v>
      </c>
    </row>
    <row r="6" spans="2:36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7"/>
        <v>28.282191780821922</v>
      </c>
      <c r="Z6" s="29">
        <v>45379</v>
      </c>
      <c r="AA6">
        <v>241</v>
      </c>
      <c r="AB6" s="31">
        <f t="shared" si="5"/>
        <v>24.430136986301374</v>
      </c>
      <c r="AD6" s="29">
        <v>45410</v>
      </c>
      <c r="AE6" s="632">
        <v>9</v>
      </c>
      <c r="AF6" s="31">
        <f t="shared" si="8"/>
        <v>0.85068493150684932</v>
      </c>
      <c r="AH6" s="29">
        <v>45440</v>
      </c>
      <c r="AI6" s="632">
        <v>54</v>
      </c>
      <c r="AJ6" s="31">
        <f t="shared" si="6"/>
        <v>5.1041095890410961</v>
      </c>
    </row>
    <row r="7" spans="2:36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9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7"/>
        <v>27.369863013698634</v>
      </c>
      <c r="Z7" s="29">
        <v>45378</v>
      </c>
      <c r="AA7">
        <v>241</v>
      </c>
      <c r="AB7" s="31">
        <f t="shared" si="5"/>
        <v>24.430136986301374</v>
      </c>
      <c r="AD7" s="29">
        <v>45409</v>
      </c>
      <c r="AE7" s="632">
        <v>9</v>
      </c>
      <c r="AF7" s="31">
        <f t="shared" si="8"/>
        <v>0.85068493150684932</v>
      </c>
      <c r="AH7" s="29">
        <v>45439</v>
      </c>
      <c r="AI7" s="632">
        <v>44</v>
      </c>
      <c r="AJ7" s="31">
        <f t="shared" si="6"/>
        <v>4.1589041095890416</v>
      </c>
    </row>
    <row r="8" spans="2:36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9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7"/>
        <v>27.572602739726033</v>
      </c>
      <c r="Z8" s="29">
        <v>45377</v>
      </c>
      <c r="AA8">
        <v>231</v>
      </c>
      <c r="AB8" s="31">
        <f t="shared" si="5"/>
        <v>23.416438356164388</v>
      </c>
      <c r="AD8" s="29">
        <v>45408</v>
      </c>
      <c r="AE8" s="632">
        <v>9</v>
      </c>
      <c r="AF8" s="31">
        <f t="shared" si="8"/>
        <v>0.85068493150684932</v>
      </c>
      <c r="AH8" s="29">
        <v>45438</v>
      </c>
      <c r="AI8" s="632">
        <v>42</v>
      </c>
      <c r="AJ8" s="31">
        <f t="shared" si="6"/>
        <v>3.9698630136986308</v>
      </c>
    </row>
    <row r="9" spans="2:36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9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7"/>
        <v>28.079452054794526</v>
      </c>
      <c r="Z9" s="29">
        <v>45376</v>
      </c>
      <c r="AA9">
        <v>269</v>
      </c>
      <c r="AB9" s="31">
        <f t="shared" si="5"/>
        <v>27.268493150684936</v>
      </c>
      <c r="AD9" s="29">
        <v>45407</v>
      </c>
      <c r="AE9" s="632">
        <v>5</v>
      </c>
      <c r="AF9" s="31">
        <f t="shared" si="8"/>
        <v>0.47260273972602745</v>
      </c>
      <c r="AH9" s="29">
        <v>45437</v>
      </c>
      <c r="AI9" s="632">
        <v>42</v>
      </c>
      <c r="AJ9" s="31">
        <f t="shared" si="6"/>
        <v>3.9698630136986308</v>
      </c>
    </row>
    <row r="10" spans="2:36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9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7"/>
        <v>28.079452054794526</v>
      </c>
      <c r="Z10" s="29">
        <v>45375</v>
      </c>
      <c r="AA10">
        <v>373</v>
      </c>
      <c r="AB10" s="31">
        <f t="shared" si="5"/>
        <v>37.810958904109597</v>
      </c>
      <c r="AD10" s="29">
        <v>45406</v>
      </c>
      <c r="AE10" s="632">
        <v>9</v>
      </c>
      <c r="AF10" s="31">
        <f t="shared" si="8"/>
        <v>0.85068493150684932</v>
      </c>
      <c r="AH10" s="29">
        <v>45436</v>
      </c>
      <c r="AI10" s="632">
        <v>42</v>
      </c>
      <c r="AJ10" s="31">
        <f t="shared" si="6"/>
        <v>3.9698630136986308</v>
      </c>
    </row>
    <row r="11" spans="2:36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9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7"/>
        <v>28.484931506849321</v>
      </c>
      <c r="Z11" s="29">
        <v>45374</v>
      </c>
      <c r="AA11">
        <v>386</v>
      </c>
      <c r="AB11" s="31">
        <f t="shared" si="5"/>
        <v>39.128767123287673</v>
      </c>
      <c r="AD11" s="29">
        <v>45405</v>
      </c>
      <c r="AE11" s="632">
        <v>9</v>
      </c>
      <c r="AF11" s="31">
        <f t="shared" si="8"/>
        <v>0.85068493150684932</v>
      </c>
      <c r="AH11" s="29">
        <v>45435</v>
      </c>
      <c r="AI11" s="632">
        <v>44</v>
      </c>
      <c r="AJ11" s="31">
        <f t="shared" si="6"/>
        <v>4.1589041095890416</v>
      </c>
    </row>
    <row r="12" spans="2:36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9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7"/>
        <v>27.775342465753429</v>
      </c>
      <c r="Z12" s="29">
        <v>45373</v>
      </c>
      <c r="AA12">
        <v>386</v>
      </c>
      <c r="AB12" s="31">
        <f t="shared" si="5"/>
        <v>39.128767123287673</v>
      </c>
      <c r="AD12" s="29">
        <v>45404</v>
      </c>
      <c r="AE12" s="632">
        <v>17</v>
      </c>
      <c r="AF12" s="31">
        <f t="shared" si="8"/>
        <v>1.606849315068493</v>
      </c>
      <c r="AH12" s="29">
        <v>45434</v>
      </c>
      <c r="AI12" s="35">
        <v>35</v>
      </c>
      <c r="AJ12" s="31">
        <f t="shared" si="6"/>
        <v>3.3082191780821919</v>
      </c>
    </row>
    <row r="13" spans="2:36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9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7"/>
        <v>27.775342465753429</v>
      </c>
      <c r="Z13" s="29">
        <v>45372</v>
      </c>
      <c r="AA13">
        <v>386</v>
      </c>
      <c r="AB13" s="31">
        <f t="shared" si="5"/>
        <v>39.128767123287673</v>
      </c>
      <c r="AD13" s="29">
        <v>45403</v>
      </c>
      <c r="AE13" s="35">
        <v>84</v>
      </c>
      <c r="AF13" s="31">
        <f t="shared" si="8"/>
        <v>7.9397260273972616</v>
      </c>
      <c r="AH13" s="29">
        <v>45433</v>
      </c>
      <c r="AI13" s="35">
        <v>35</v>
      </c>
      <c r="AJ13" s="31">
        <f t="shared" si="6"/>
        <v>3.3082191780821919</v>
      </c>
    </row>
    <row r="14" spans="2:36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9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10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  <c r="AD14" s="29">
        <v>45402</v>
      </c>
      <c r="AE14" s="35">
        <v>84</v>
      </c>
      <c r="AF14" s="31">
        <f t="shared" si="8"/>
        <v>7.9397260273972616</v>
      </c>
      <c r="AH14" s="29">
        <v>45432</v>
      </c>
      <c r="AI14" s="35">
        <v>35</v>
      </c>
      <c r="AJ14" s="31">
        <f t="shared" si="6"/>
        <v>3.3082191780821919</v>
      </c>
    </row>
    <row r="15" spans="2:36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9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10"/>
        <v>27.673972602739731</v>
      </c>
      <c r="Z15" s="29">
        <v>45370</v>
      </c>
      <c r="AA15" s="35">
        <v>386</v>
      </c>
      <c r="AB15" s="31">
        <f t="shared" si="5"/>
        <v>39.128767123287673</v>
      </c>
      <c r="AD15" s="29">
        <v>45401</v>
      </c>
      <c r="AE15" s="35">
        <v>84</v>
      </c>
      <c r="AF15" s="31">
        <f t="shared" si="8"/>
        <v>7.9397260273972616</v>
      </c>
      <c r="AH15" s="29">
        <v>45431</v>
      </c>
      <c r="AI15" s="35">
        <v>35</v>
      </c>
      <c r="AJ15" s="31">
        <f t="shared" si="6"/>
        <v>3.3082191780821919</v>
      </c>
    </row>
    <row r="16" spans="2:36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9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10"/>
        <v>27.673972602739731</v>
      </c>
      <c r="Z16" s="29">
        <v>45369</v>
      </c>
      <c r="AA16" s="35">
        <v>372.3</v>
      </c>
      <c r="AB16" s="31">
        <f t="shared" si="5"/>
        <v>37.740000000000009</v>
      </c>
      <c r="AD16" s="29">
        <v>45400</v>
      </c>
      <c r="AE16" s="35">
        <v>84</v>
      </c>
      <c r="AF16" s="31">
        <f t="shared" si="8"/>
        <v>7.9397260273972616</v>
      </c>
      <c r="AH16" s="29">
        <v>45430</v>
      </c>
      <c r="AI16" s="35">
        <v>35</v>
      </c>
      <c r="AJ16" s="31">
        <f t="shared" si="6"/>
        <v>3.3082191780821919</v>
      </c>
    </row>
    <row r="17" spans="2:36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9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10"/>
        <v>27.673972602739731</v>
      </c>
      <c r="Z17" s="29">
        <v>45368</v>
      </c>
      <c r="AA17" s="35">
        <v>372.3</v>
      </c>
      <c r="AB17" s="31">
        <f t="shared" si="5"/>
        <v>37.740000000000009</v>
      </c>
      <c r="AD17" s="29">
        <v>45399</v>
      </c>
      <c r="AE17" s="35">
        <v>84</v>
      </c>
      <c r="AF17" s="31">
        <f t="shared" si="8"/>
        <v>7.9397260273972616</v>
      </c>
      <c r="AH17" s="29">
        <v>45429</v>
      </c>
      <c r="AI17" s="35">
        <v>35</v>
      </c>
      <c r="AJ17" s="31">
        <f t="shared" si="6"/>
        <v>3.3082191780821919</v>
      </c>
    </row>
    <row r="18" spans="2:36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9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10"/>
        <v>27.673972602739731</v>
      </c>
      <c r="Z18" s="29">
        <v>45367</v>
      </c>
      <c r="AA18" s="35">
        <v>372.3</v>
      </c>
      <c r="AB18" s="31">
        <f t="shared" si="5"/>
        <v>37.740000000000009</v>
      </c>
      <c r="AD18" s="29">
        <v>45398</v>
      </c>
      <c r="AE18" s="35">
        <v>55</v>
      </c>
      <c r="AF18" s="31">
        <f t="shared" si="8"/>
        <v>5.1986301369863019</v>
      </c>
      <c r="AH18" s="29">
        <v>45428</v>
      </c>
      <c r="AI18" s="35">
        <v>35</v>
      </c>
      <c r="AJ18" s="31">
        <f t="shared" si="6"/>
        <v>3.3082191780821919</v>
      </c>
    </row>
    <row r="19" spans="2:36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9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10"/>
        <v>27.167123287671238</v>
      </c>
      <c r="Z19" s="29">
        <v>45366</v>
      </c>
      <c r="AA19" s="35">
        <v>372.3</v>
      </c>
      <c r="AB19" s="31">
        <f t="shared" si="5"/>
        <v>37.740000000000009</v>
      </c>
      <c r="AD19" s="29">
        <v>45397</v>
      </c>
      <c r="AE19" s="35">
        <v>55</v>
      </c>
      <c r="AF19" s="31">
        <f t="shared" si="8"/>
        <v>5.1986301369863019</v>
      </c>
      <c r="AH19" s="29">
        <v>45427</v>
      </c>
      <c r="AI19" s="35">
        <v>38</v>
      </c>
      <c r="AJ19" s="31">
        <f t="shared" si="6"/>
        <v>3.591780821917808</v>
      </c>
    </row>
    <row r="20" spans="2:36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9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10"/>
        <v>27.167123287671238</v>
      </c>
      <c r="Z20" s="29">
        <v>45365</v>
      </c>
      <c r="AA20" s="35">
        <v>372.3</v>
      </c>
      <c r="AB20" s="31">
        <f t="shared" si="5"/>
        <v>37.740000000000009</v>
      </c>
      <c r="AD20" s="29">
        <v>45396</v>
      </c>
      <c r="AE20" s="35">
        <v>55</v>
      </c>
      <c r="AF20" s="31">
        <f t="shared" si="8"/>
        <v>5.1986301369863019</v>
      </c>
      <c r="AH20" s="29">
        <v>45426</v>
      </c>
      <c r="AI20" s="35">
        <v>38</v>
      </c>
      <c r="AJ20" s="31">
        <f t="shared" si="6"/>
        <v>3.591780821917808</v>
      </c>
    </row>
    <row r="21" spans="2:36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9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10"/>
        <v>27.167123287671238</v>
      </c>
      <c r="Z21" s="29">
        <v>45364</v>
      </c>
      <c r="AA21" s="35">
        <v>361</v>
      </c>
      <c r="AB21" s="31">
        <f t="shared" si="5"/>
        <v>36.594520547945208</v>
      </c>
      <c r="AD21" s="29">
        <v>45395</v>
      </c>
      <c r="AE21" s="35">
        <v>55</v>
      </c>
      <c r="AF21" s="31">
        <f t="shared" si="8"/>
        <v>5.1986301369863019</v>
      </c>
      <c r="AH21" s="29">
        <v>45425</v>
      </c>
      <c r="AI21" s="35">
        <v>38</v>
      </c>
      <c r="AJ21" s="31">
        <f t="shared" si="6"/>
        <v>3.591780821917808</v>
      </c>
    </row>
    <row r="22" spans="2:36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9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10"/>
        <v>27.775342465753429</v>
      </c>
      <c r="Z22" s="29">
        <v>45363</v>
      </c>
      <c r="AA22" s="35">
        <v>361</v>
      </c>
      <c r="AB22" s="31">
        <f t="shared" si="5"/>
        <v>36.594520547945208</v>
      </c>
      <c r="AD22" s="29">
        <v>45394</v>
      </c>
      <c r="AE22" s="35">
        <v>55</v>
      </c>
      <c r="AF22" s="31">
        <f t="shared" si="8"/>
        <v>5.1986301369863019</v>
      </c>
      <c r="AH22" s="29">
        <v>45424</v>
      </c>
      <c r="AI22" s="35">
        <v>38</v>
      </c>
      <c r="AJ22" s="31">
        <f t="shared" si="6"/>
        <v>3.591780821917808</v>
      </c>
    </row>
    <row r="23" spans="2:36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9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10"/>
        <v>27.775342465753429</v>
      </c>
      <c r="Z23" s="29">
        <v>45362</v>
      </c>
      <c r="AA23" s="35">
        <v>413</v>
      </c>
      <c r="AB23" s="31">
        <f t="shared" si="5"/>
        <v>41.865753424657541</v>
      </c>
      <c r="AD23" s="29">
        <v>45393</v>
      </c>
      <c r="AE23" s="35">
        <v>55</v>
      </c>
      <c r="AF23" s="31">
        <f t="shared" si="8"/>
        <v>5.1986301369863019</v>
      </c>
      <c r="AH23" s="29">
        <v>45423</v>
      </c>
      <c r="AI23" s="35">
        <v>38</v>
      </c>
      <c r="AJ23" s="31">
        <f t="shared" si="6"/>
        <v>3.591780821917808</v>
      </c>
    </row>
    <row r="24" spans="2:36">
      <c r="B24" s="29">
        <v>45068</v>
      </c>
      <c r="C24">
        <v>545</v>
      </c>
      <c r="D24" s="31">
        <f t="shared" ref="D24:D32" si="11">C24*1000*0.05%/365</f>
        <v>0.74657534246575341</v>
      </c>
      <c r="F24" s="29">
        <v>45099</v>
      </c>
      <c r="G24">
        <v>585</v>
      </c>
      <c r="H24" s="31">
        <f t="shared" ref="H24:H32" si="12">G24*1000*0.05%/365</f>
        <v>0.80136986301369861</v>
      </c>
      <c r="J24" s="29">
        <v>45129</v>
      </c>
      <c r="K24">
        <v>735</v>
      </c>
      <c r="L24" s="31">
        <f t="shared" ref="L24:L32" si="13">K24*1000*0.05%/365</f>
        <v>1.0068493150684932</v>
      </c>
      <c r="N24" s="29">
        <v>45160</v>
      </c>
      <c r="O24">
        <v>735</v>
      </c>
      <c r="P24" s="31">
        <f t="shared" si="9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10"/>
        <v>27.775342465753429</v>
      </c>
      <c r="Z24" s="29">
        <v>45361</v>
      </c>
      <c r="AA24" s="35">
        <v>428</v>
      </c>
      <c r="AB24" s="31">
        <f t="shared" si="5"/>
        <v>43.38630136986302</v>
      </c>
      <c r="AD24" s="29">
        <v>45392</v>
      </c>
      <c r="AE24" s="35">
        <v>47</v>
      </c>
      <c r="AF24" s="31">
        <f t="shared" si="8"/>
        <v>4.4424657534246581</v>
      </c>
      <c r="AH24" s="29">
        <v>45422</v>
      </c>
      <c r="AI24" s="35">
        <v>38</v>
      </c>
      <c r="AJ24" s="31">
        <f t="shared" si="6"/>
        <v>3.591780821917808</v>
      </c>
    </row>
    <row r="25" spans="2:36" s="28" customFormat="1">
      <c r="B25" s="32">
        <v>45069</v>
      </c>
      <c r="C25" s="28">
        <v>545</v>
      </c>
      <c r="D25" s="33">
        <f t="shared" si="11"/>
        <v>0.74657534246575341</v>
      </c>
      <c r="F25" s="32">
        <v>45100</v>
      </c>
      <c r="G25" s="28">
        <v>585</v>
      </c>
      <c r="H25" s="33">
        <f t="shared" si="12"/>
        <v>0.80136986301369861</v>
      </c>
      <c r="J25" s="32">
        <v>45130</v>
      </c>
      <c r="K25" s="28">
        <v>735</v>
      </c>
      <c r="L25" s="33">
        <f t="shared" si="13"/>
        <v>1.0068493150684932</v>
      </c>
      <c r="N25" s="32">
        <v>45161</v>
      </c>
      <c r="O25" s="28">
        <v>738</v>
      </c>
      <c r="P25" s="33">
        <f t="shared" si="9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10"/>
        <v>27.775342465753429</v>
      </c>
      <c r="Z25" s="29">
        <v>45360</v>
      </c>
      <c r="AA25" s="35">
        <v>428</v>
      </c>
      <c r="AB25" s="31">
        <f t="shared" si="5"/>
        <v>43.38630136986302</v>
      </c>
      <c r="AD25" s="29">
        <v>45391</v>
      </c>
      <c r="AE25" s="35">
        <v>47</v>
      </c>
      <c r="AF25" s="31">
        <f t="shared" si="8"/>
        <v>4.4424657534246581</v>
      </c>
      <c r="AH25" s="29">
        <v>45421</v>
      </c>
      <c r="AI25" s="35">
        <v>31</v>
      </c>
      <c r="AJ25" s="31">
        <f t="shared" si="6"/>
        <v>2.93013698630137</v>
      </c>
    </row>
    <row r="26" spans="2:36">
      <c r="B26" s="29">
        <v>45070</v>
      </c>
      <c r="C26">
        <v>550</v>
      </c>
      <c r="D26" s="31">
        <f t="shared" si="11"/>
        <v>0.75342465753424659</v>
      </c>
      <c r="F26" s="29">
        <v>45101</v>
      </c>
      <c r="G26">
        <v>585</v>
      </c>
      <c r="H26" s="31">
        <f t="shared" si="12"/>
        <v>0.80136986301369861</v>
      </c>
      <c r="J26" s="29">
        <v>45131</v>
      </c>
      <c r="K26" s="35">
        <v>735</v>
      </c>
      <c r="L26" s="31">
        <f t="shared" si="13"/>
        <v>1.0068493150684932</v>
      </c>
      <c r="N26" s="29">
        <v>45162</v>
      </c>
      <c r="O26" s="35">
        <v>738</v>
      </c>
      <c r="P26" s="31">
        <f t="shared" si="9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10"/>
        <v>26.761643835616443</v>
      </c>
      <c r="Z26" s="29">
        <v>45359</v>
      </c>
      <c r="AA26" s="35">
        <v>428</v>
      </c>
      <c r="AB26" s="31">
        <f t="shared" si="5"/>
        <v>43.38630136986302</v>
      </c>
      <c r="AD26" s="29">
        <v>45390</v>
      </c>
      <c r="AE26" s="35">
        <v>47</v>
      </c>
      <c r="AF26" s="31">
        <f t="shared" si="8"/>
        <v>4.4424657534246581</v>
      </c>
      <c r="AH26" s="29">
        <v>45420</v>
      </c>
      <c r="AI26" s="35">
        <v>31</v>
      </c>
      <c r="AJ26" s="31">
        <f t="shared" si="6"/>
        <v>2.93013698630137</v>
      </c>
    </row>
    <row r="27" spans="2:36">
      <c r="B27" s="29">
        <v>45071</v>
      </c>
      <c r="C27">
        <v>550</v>
      </c>
      <c r="D27" s="31">
        <f t="shared" si="11"/>
        <v>0.75342465753424659</v>
      </c>
      <c r="F27" s="29">
        <v>45102</v>
      </c>
      <c r="G27">
        <v>585</v>
      </c>
      <c r="H27" s="31">
        <f t="shared" si="12"/>
        <v>0.80136986301369861</v>
      </c>
      <c r="J27" s="29">
        <v>45132</v>
      </c>
      <c r="K27" s="35">
        <v>740</v>
      </c>
      <c r="L27" s="31">
        <f t="shared" si="13"/>
        <v>1.0136986301369864</v>
      </c>
      <c r="N27" s="29">
        <v>45163</v>
      </c>
      <c r="O27" s="35">
        <v>748</v>
      </c>
      <c r="P27" s="31">
        <f t="shared" si="9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10"/>
        <v>26.660273972602745</v>
      </c>
      <c r="Z27" s="29">
        <v>45358</v>
      </c>
      <c r="AA27" s="35">
        <v>428</v>
      </c>
      <c r="AB27" s="31">
        <f t="shared" si="5"/>
        <v>43.38630136986302</v>
      </c>
      <c r="AD27" s="29">
        <v>45389</v>
      </c>
      <c r="AE27" s="35">
        <v>63.2</v>
      </c>
      <c r="AF27" s="31">
        <f t="shared" si="8"/>
        <v>5.9736986301369868</v>
      </c>
      <c r="AH27" s="29">
        <v>45419</v>
      </c>
      <c r="AI27" s="35">
        <v>31</v>
      </c>
      <c r="AJ27" s="31">
        <f t="shared" si="6"/>
        <v>2.93013698630137</v>
      </c>
    </row>
    <row r="28" spans="2:36">
      <c r="B28" s="29">
        <v>45072</v>
      </c>
      <c r="C28">
        <v>550</v>
      </c>
      <c r="D28" s="31">
        <f t="shared" si="11"/>
        <v>0.75342465753424659</v>
      </c>
      <c r="F28" s="29">
        <v>45103</v>
      </c>
      <c r="G28">
        <v>585</v>
      </c>
      <c r="H28" s="31">
        <f t="shared" si="12"/>
        <v>0.80136986301369861</v>
      </c>
      <c r="J28" s="29">
        <v>45133</v>
      </c>
      <c r="K28" s="35">
        <v>740</v>
      </c>
      <c r="L28" s="31">
        <f t="shared" si="13"/>
        <v>1.0136986301369864</v>
      </c>
      <c r="N28" s="29">
        <v>45164</v>
      </c>
      <c r="O28" s="35">
        <v>749</v>
      </c>
      <c r="P28" s="31">
        <f t="shared" si="9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10"/>
        <v>19.665753424657538</v>
      </c>
      <c r="Z28" s="29">
        <v>45357</v>
      </c>
      <c r="AA28" s="35">
        <v>428</v>
      </c>
      <c r="AB28" s="31">
        <f t="shared" si="5"/>
        <v>43.38630136986302</v>
      </c>
      <c r="AD28" s="29">
        <v>45388</v>
      </c>
      <c r="AE28" s="35">
        <v>63.2</v>
      </c>
      <c r="AF28" s="31">
        <f t="shared" si="8"/>
        <v>5.9736986301369868</v>
      </c>
      <c r="AH28" s="29">
        <v>45418</v>
      </c>
      <c r="AI28" s="632">
        <v>43</v>
      </c>
      <c r="AJ28" s="31">
        <f t="shared" si="6"/>
        <v>4.0643835616438366</v>
      </c>
    </row>
    <row r="29" spans="2:36">
      <c r="B29" s="29">
        <v>45073</v>
      </c>
      <c r="C29">
        <v>550</v>
      </c>
      <c r="D29" s="31">
        <f t="shared" si="11"/>
        <v>0.75342465753424659</v>
      </c>
      <c r="F29" s="29">
        <v>45104</v>
      </c>
      <c r="G29">
        <v>585</v>
      </c>
      <c r="H29" s="31">
        <f t="shared" si="12"/>
        <v>0.80136986301369861</v>
      </c>
      <c r="J29" s="29">
        <v>45134</v>
      </c>
      <c r="K29" s="35">
        <v>740</v>
      </c>
      <c r="L29" s="31">
        <f t="shared" si="13"/>
        <v>1.0136986301369864</v>
      </c>
      <c r="N29" s="29">
        <v>45165</v>
      </c>
      <c r="O29" s="35">
        <v>749</v>
      </c>
      <c r="P29" s="31">
        <f t="shared" si="9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10"/>
        <v>19.665753424657538</v>
      </c>
      <c r="Z29" s="29">
        <v>45356</v>
      </c>
      <c r="AA29" s="35">
        <v>428</v>
      </c>
      <c r="AB29" s="31">
        <f t="shared" si="5"/>
        <v>43.38630136986302</v>
      </c>
      <c r="AD29" s="29">
        <v>45387</v>
      </c>
      <c r="AE29" s="35">
        <v>63.2</v>
      </c>
      <c r="AF29" s="31">
        <f t="shared" si="8"/>
        <v>5.9736986301369868</v>
      </c>
      <c r="AH29" s="29">
        <v>45417</v>
      </c>
      <c r="AI29" s="632">
        <v>43</v>
      </c>
      <c r="AJ29" s="31">
        <f t="shared" si="6"/>
        <v>4.0643835616438366</v>
      </c>
    </row>
    <row r="30" spans="2:36">
      <c r="B30" s="29">
        <v>45074</v>
      </c>
      <c r="C30">
        <v>550</v>
      </c>
      <c r="D30" s="31">
        <f t="shared" si="11"/>
        <v>0.75342465753424659</v>
      </c>
      <c r="F30" s="29">
        <v>45105</v>
      </c>
      <c r="G30">
        <v>600</v>
      </c>
      <c r="H30" s="31">
        <f t="shared" si="12"/>
        <v>0.82191780821917804</v>
      </c>
      <c r="J30" s="29">
        <v>45135</v>
      </c>
      <c r="K30" s="35">
        <v>740</v>
      </c>
      <c r="L30" s="31">
        <f t="shared" si="13"/>
        <v>1.0136986301369864</v>
      </c>
      <c r="N30" s="29">
        <v>45166</v>
      </c>
      <c r="O30">
        <v>740</v>
      </c>
      <c r="P30" s="31">
        <f t="shared" si="9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10"/>
        <v>26.660273972602745</v>
      </c>
      <c r="Z30" s="29">
        <v>45355</v>
      </c>
      <c r="AA30">
        <v>284</v>
      </c>
      <c r="AB30" s="31">
        <f t="shared" si="5"/>
        <v>28.789041095890415</v>
      </c>
      <c r="AD30" s="29">
        <v>45386</v>
      </c>
      <c r="AE30" s="35">
        <v>63.2</v>
      </c>
      <c r="AF30" s="31">
        <f t="shared" si="8"/>
        <v>5.9736986301369868</v>
      </c>
      <c r="AH30" s="29">
        <v>45416</v>
      </c>
      <c r="AI30" s="632">
        <v>43</v>
      </c>
      <c r="AJ30" s="31">
        <f t="shared" si="6"/>
        <v>4.0643835616438366</v>
      </c>
    </row>
    <row r="31" spans="2:36">
      <c r="B31" s="29">
        <v>45075</v>
      </c>
      <c r="C31">
        <v>550</v>
      </c>
      <c r="D31" s="31">
        <f t="shared" si="11"/>
        <v>0.75342465753424659</v>
      </c>
      <c r="F31" s="29">
        <v>45106</v>
      </c>
      <c r="G31">
        <v>600</v>
      </c>
      <c r="H31" s="31">
        <f t="shared" si="12"/>
        <v>0.82191780821917804</v>
      </c>
      <c r="J31" s="29">
        <v>45136</v>
      </c>
      <c r="K31">
        <v>750</v>
      </c>
      <c r="L31" s="31">
        <f t="shared" si="13"/>
        <v>1.0273972602739727</v>
      </c>
      <c r="N31" s="29">
        <v>45167</v>
      </c>
      <c r="O31">
        <v>604</v>
      </c>
      <c r="P31" s="31">
        <f t="shared" si="9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10"/>
        <v>26.660273972602745</v>
      </c>
      <c r="Z31" s="29">
        <v>45354</v>
      </c>
      <c r="AA31">
        <v>284</v>
      </c>
      <c r="AB31" s="31">
        <f t="shared" si="5"/>
        <v>28.789041095890415</v>
      </c>
      <c r="AD31" s="29">
        <v>45385</v>
      </c>
      <c r="AE31" s="35">
        <v>63.2</v>
      </c>
      <c r="AF31" s="31">
        <f t="shared" si="8"/>
        <v>5.9736986301369868</v>
      </c>
      <c r="AH31" s="29">
        <v>45415</v>
      </c>
      <c r="AI31" s="632">
        <v>43</v>
      </c>
      <c r="AJ31" s="31">
        <f t="shared" si="6"/>
        <v>4.0643835616438366</v>
      </c>
    </row>
    <row r="32" spans="2:36">
      <c r="B32" s="29">
        <v>45076</v>
      </c>
      <c r="C32">
        <v>585</v>
      </c>
      <c r="D32" s="31">
        <f t="shared" si="11"/>
        <v>0.80136986301369861</v>
      </c>
      <c r="F32" s="29">
        <v>45107</v>
      </c>
      <c r="G32">
        <v>600</v>
      </c>
      <c r="H32" s="31">
        <f t="shared" si="12"/>
        <v>0.82191780821917804</v>
      </c>
      <c r="J32" s="29">
        <v>45137</v>
      </c>
      <c r="K32">
        <v>750</v>
      </c>
      <c r="L32" s="31">
        <f t="shared" si="13"/>
        <v>1.0273972602739727</v>
      </c>
      <c r="N32" s="29">
        <v>45168</v>
      </c>
      <c r="O32">
        <v>471</v>
      </c>
      <c r="P32" s="31">
        <f t="shared" si="9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10"/>
        <v>26.660273972602745</v>
      </c>
      <c r="Z32" s="29">
        <v>45353</v>
      </c>
      <c r="AA32">
        <v>284</v>
      </c>
      <c r="AB32" s="31">
        <f t="shared" si="5"/>
        <v>28.789041095890415</v>
      </c>
      <c r="AD32" s="29">
        <v>45384</v>
      </c>
      <c r="AE32" s="632">
        <v>45.2</v>
      </c>
      <c r="AF32" s="31">
        <f t="shared" si="8"/>
        <v>4.2723287671232884</v>
      </c>
      <c r="AH32" s="29">
        <v>45414</v>
      </c>
      <c r="AI32" s="632">
        <v>43</v>
      </c>
      <c r="AJ32" s="31">
        <f t="shared" si="6"/>
        <v>4.0643835616438366</v>
      </c>
    </row>
    <row r="33" spans="2:36">
      <c r="B33" s="29">
        <v>45077</v>
      </c>
      <c r="C33">
        <v>585</v>
      </c>
      <c r="D33" s="31">
        <f t="shared" ref="D33" si="14">C33*1000*0.05/100/365</f>
        <v>0.80136986301369861</v>
      </c>
      <c r="J33" s="29">
        <v>45138</v>
      </c>
      <c r="K33">
        <v>750</v>
      </c>
      <c r="L33" s="31">
        <f t="shared" ref="L33" si="15">K33*1000*0.05/100/365</f>
        <v>1.0273972602739727</v>
      </c>
      <c r="N33" s="29">
        <v>45169</v>
      </c>
      <c r="O33">
        <v>480</v>
      </c>
      <c r="P33" s="31">
        <f t="shared" si="9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10"/>
        <v>12.975342465753426</v>
      </c>
      <c r="Z33" s="29">
        <v>45352</v>
      </c>
      <c r="AA33">
        <v>284</v>
      </c>
      <c r="AB33" s="31">
        <f t="shared" si="5"/>
        <v>28.789041095890415</v>
      </c>
      <c r="AD33" s="29">
        <v>45383</v>
      </c>
      <c r="AE33" s="632">
        <v>18.5</v>
      </c>
      <c r="AF33" s="31">
        <f t="shared" si="8"/>
        <v>1.7486301369863013</v>
      </c>
      <c r="AH33" s="29">
        <v>45413</v>
      </c>
      <c r="AI33" s="632">
        <v>43</v>
      </c>
      <c r="AJ33" s="31">
        <f t="shared" si="6"/>
        <v>4.0643835616438366</v>
      </c>
    </row>
    <row r="34" spans="2:36">
      <c r="AD34" s="632"/>
      <c r="AE34" s="632"/>
      <c r="AF34" s="632"/>
    </row>
    <row r="35" spans="2:36">
      <c r="B35" s="29" t="s">
        <v>3365</v>
      </c>
      <c r="D35" s="34">
        <f>SUM(D3:D33)*88</f>
        <v>1895.7128767123286</v>
      </c>
      <c r="F35" s="29" t="s">
        <v>3365</v>
      </c>
      <c r="H35" s="34">
        <f>SUM(H3:H33)*88</f>
        <v>2121.0410958904108</v>
      </c>
      <c r="J35" s="29" t="s">
        <v>3365</v>
      </c>
      <c r="L35" s="34">
        <f>SUM(L3:L33)*88</f>
        <v>2597.8082191780818</v>
      </c>
      <c r="N35" s="29" t="s">
        <v>3365</v>
      </c>
      <c r="P35" s="34">
        <f>SUM(P3:P33)*88</f>
        <v>2650.7287671232875</v>
      </c>
      <c r="R35" s="29" t="s">
        <v>3365</v>
      </c>
      <c r="T35" s="34">
        <v>292.3</v>
      </c>
      <c r="U35" s="34"/>
      <c r="V35" s="29" t="s">
        <v>3365</v>
      </c>
      <c r="X35" s="30">
        <f>SUM(X3:X33)</f>
        <v>769.29589041095926</v>
      </c>
      <c r="Z35" s="29" t="s">
        <v>3365</v>
      </c>
      <c r="AB35" s="36">
        <f>SUM(AB3:AB33)</f>
        <v>1085.6610958904116</v>
      </c>
      <c r="AD35" s="29" t="s">
        <v>3365</v>
      </c>
      <c r="AE35" s="632"/>
      <c r="AF35" s="34">
        <f>SUM(AF3:AF33)</f>
        <v>133.09219178082193</v>
      </c>
      <c r="AH35" s="29" t="s">
        <v>3365</v>
      </c>
      <c r="AJ35" s="34">
        <f>SUM(AJ3:AJ33)</f>
        <v>119.3794520547945</v>
      </c>
    </row>
    <row r="36" spans="2:36">
      <c r="B36" s="29" t="s">
        <v>3366</v>
      </c>
      <c r="D36" s="34">
        <f>'HIS19'!KQ21</f>
        <v>1895.66</v>
      </c>
      <c r="F36" s="29" t="s">
        <v>3366</v>
      </c>
      <c r="H36" s="34">
        <f>'HIS19'!KQ22</f>
        <v>2121.2199999999998</v>
      </c>
      <c r="J36" s="29" t="s">
        <v>3366</v>
      </c>
      <c r="L36" s="34">
        <f>'HIS19'!KQ23</f>
        <v>2597.87</v>
      </c>
      <c r="N36" s="29" t="s">
        <v>3366</v>
      </c>
      <c r="P36" s="34">
        <f>'HIS19'!KQ24</f>
        <v>2650.71</v>
      </c>
      <c r="R36" s="29" t="s">
        <v>3366</v>
      </c>
      <c r="T36" s="34">
        <v>292</v>
      </c>
      <c r="U36" s="34"/>
      <c r="V36" s="29" t="s">
        <v>3366</v>
      </c>
      <c r="X36" s="30">
        <v>767</v>
      </c>
      <c r="Z36" s="29" t="s">
        <v>3366</v>
      </c>
      <c r="AB36" s="30">
        <v>1083</v>
      </c>
      <c r="AD36" s="29" t="s">
        <v>3366</v>
      </c>
      <c r="AE36" s="632"/>
      <c r="AF36" s="254">
        <f>132.45</f>
        <v>132.44999999999999</v>
      </c>
      <c r="AH36" s="29" t="s">
        <v>3366</v>
      </c>
      <c r="AJ36" s="254">
        <f>118.69</f>
        <v>118.69</v>
      </c>
    </row>
    <row r="37" spans="2:36">
      <c r="B37" s="29" t="s">
        <v>3367</v>
      </c>
      <c r="D37" s="34">
        <f>D36-D35</f>
        <v>-5.2876712328497888E-2</v>
      </c>
      <c r="F37" s="29" t="s">
        <v>3367</v>
      </c>
      <c r="H37" s="34">
        <f>H36-H35</f>
        <v>0.17890410958898428</v>
      </c>
      <c r="J37" s="29" t="s">
        <v>3367</v>
      </c>
      <c r="L37" s="34">
        <f>L36-L35</f>
        <v>6.1780821918091533E-2</v>
      </c>
      <c r="N37" s="29" t="s">
        <v>3367</v>
      </c>
      <c r="P37" s="34">
        <f>P36-P35</f>
        <v>-1.8767123287489085E-2</v>
      </c>
      <c r="R37" s="29" t="s">
        <v>3367</v>
      </c>
      <c r="T37" s="34">
        <v>-0.29999999999995502</v>
      </c>
      <c r="U37" s="34"/>
      <c r="V37" s="29" t="s">
        <v>3367</v>
      </c>
      <c r="X37" s="30">
        <f>X36-X35</f>
        <v>-2.2958904109592595</v>
      </c>
      <c r="Z37" s="29" t="s">
        <v>3367</v>
      </c>
      <c r="AB37" s="30">
        <f>AB36-AB35</f>
        <v>-2.661095890411616</v>
      </c>
      <c r="AD37" s="29" t="s">
        <v>3367</v>
      </c>
      <c r="AE37" s="632"/>
      <c r="AF37" s="30">
        <f>AF36-AF35</f>
        <v>-0.64219178082194617</v>
      </c>
      <c r="AH37" s="29" t="s">
        <v>3367</v>
      </c>
      <c r="AJ37" s="30">
        <f>AJ36-AJ35</f>
        <v>-0.68945205479450067</v>
      </c>
    </row>
    <row r="45" spans="2:36">
      <c r="AF45" s="254"/>
    </row>
    <row r="46" spans="2:36">
      <c r="AF46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2024-09-03T09:54:19Z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