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60" yWindow="-120" windowWidth="2856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32" i="42" l="1"/>
  <c r="H32" i="42" l="1"/>
  <c r="I32" i="42"/>
  <c r="G32" i="42"/>
  <c r="I30" i="42"/>
  <c r="D34" i="42"/>
  <c r="B19" i="42"/>
  <c r="B20" i="42"/>
  <c r="B21" i="42"/>
  <c r="B34" i="42" s="1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JQ5" i="32"/>
  <c r="H30" i="42" l="1"/>
  <c r="G30" i="42"/>
  <c r="JQ4" i="32"/>
  <c r="JQ7" i="32"/>
  <c r="JM17" i="32" l="1"/>
  <c r="JM18" i="32"/>
  <c r="JO24" i="32" l="1"/>
  <c r="C26" i="41" l="1"/>
  <c r="JO27" i="32" l="1"/>
  <c r="JM28" i="32"/>
  <c r="JM30" i="32"/>
  <c r="JO22" i="32"/>
  <c r="JO21" i="32"/>
  <c r="JM36" i="32" l="1"/>
  <c r="JN43" i="32"/>
  <c r="JO33" i="32" l="1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JC23" i="32" l="1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6" i="41"/>
  <c r="N37" i="41" s="1"/>
  <c r="C31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8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<sst xmlns="http://schemas.openxmlformats.org/spreadsheetml/2006/main" count="7039" uniqueCount="2840">
  <si>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</si>
  <si>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</si>
  <si>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</si>
  <si>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</si>
  <si>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</si>
  <si>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</si>
  <si>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</si>
  <si>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</si>
  <si>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</si>
  <si>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</si>
  <si>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</si>
  <si>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</si>
  <si>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</si>
  <si>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</si>
  <si>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</si>
  <si>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</si>
  <si>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</si>
  <si>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</si>
  <si>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</si>
  <si>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</si>
  <si>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</si>
  <si>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</si>
  <si>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</si>
  <si>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</si>
  <si>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</si>
  <si>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</si>
  <si>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</si>
  <si>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</si>
  <si>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</si>
  <si>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</si>
  <si>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</si>
  <si>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</si>
  <si>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</si>
  <si>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</si>
  <si>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</si>
  <si>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</si>
  <si>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</si>
  <si>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</si>
  <si>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</si>
  <si>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</si>
  <si>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</si>
  <si>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</si>
  <si>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</si>
  <si>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</si>
  <si>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</si>
  <si>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</si>
  <si>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</si>
  <si>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</si>
  <si>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</si>
  <si>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</si>
  <si>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</si>
  <si>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</si>
  <si>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</si>
  <si>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</si>
  <si>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</si>
  <si>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</si>
  <si>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</si>
  <si>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</si>
  <si>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</si>
  <si>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</si>
  <si>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</si>
  <si>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</si>
  <si>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</si>
  <si>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</si>
  <si>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</si>
  <si>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</si>
  <si>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</si>
  <si>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</si>
  <si>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</si>
  <si>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</si>
  <si>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</si>
  <si>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</si>
  <si>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</si>
  <si>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</si>
  <si>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</si>
  <si>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</si>
  <si>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</si>
  <si>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</si>
  <si>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</si>
  <si>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</si>
  <si>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</si>
  <si>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</si>
  <si>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</si>
  <si>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</si>
  <si>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</si>
  <si>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</si>
  <si>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</si>
  <si>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</si>
  <si>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</si>
  <si>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</si>
  <si>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</si>
  <si>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</si>
  <si>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</si>
  <si>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</si>
  <si>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</si>
  <si>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</si>
  <si>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</si>
  <si>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</si>
  <si>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</si>
  <si>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</si>
  <si>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</si>
  <si>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</si>
  <si>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</si>
  <si>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</si>
  <si>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</si>
  <si>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</si>
  <si>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</si>
  <si>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</si>
  <si>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</si>
  <si>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</si>
  <si>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</si>
  <si>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</si>
  <si>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</si>
  <si>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</si>
  <si>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</si>
  <si>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</si>
  <si>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</si>
  <si>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</si>
  <si>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</si>
  <si>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</si>
  <si>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</si>
  <si>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</si>
  <si>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</si>
  <si>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</si>
  <si>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</si>
  <si>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</si>
  <si>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</si>
  <si>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</si>
  <si>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</si>
  <si>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</si>
  <si>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</si>
  <si>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</si>
  <si>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</si>
  <si>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</si>
  <si>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</si>
  <si>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</si>
  <si>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</si>
  <si>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</si>
  <si>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</si>
  <si>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</si>
  <si>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</si>
  <si>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</si>
  <si>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</si>
  <si>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</si>
  <si>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</si>
  <si>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</si>
  <si>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</si>
  <si>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</si>
  <si>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</si>
  <si>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</si>
  <si>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</si>
  <si>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</si>
  <si>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</si>
  <si>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</si>
  <si>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</si>
  <si>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</si>
  <si>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</si>
  <si>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</si>
  <si>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</si>
  <si>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</si>
  <si>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</si>
  <si>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</si>
  <si>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</si>
  <si>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</si>
  <si>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</si>
  <si>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</si>
  <si>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</si>
  <si>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</si>
  <si>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</si>
  <si>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</si>
  <si>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</si>
  <si>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</si>
  <si>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</si>
  <si>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</si>
  <si>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</si>
  <si>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</si>
  <si>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</si>
  <si>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</si>
  <si>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</si>
  <si>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</si>
  <si>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</si>
  <si>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</si>
  <si>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</si>
  <si>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</si>
  <si>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</si>
  <si>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</si>
  <si>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</si>
  <si>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</si>
  <si>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</si>
  <si>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</si>
  <si>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</si>
  <si>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</si>
  <si>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</si>
  <si>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</si>
  <si>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</si>
  <si>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</si>
  <si>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</si>
  <si>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</si>
  <si>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</si>
  <si>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</si>
  <si>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</si>
  <si>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</si>
  <si>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</si>
  <si>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</si>
  <si>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</si>
  <si>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</si>
  <si>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</si>
  <si>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</si>
  <si>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</si>
  <si>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</si>
  <si>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</si>
  <si>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</si>
  <si>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</si>
  <si>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</si>
  <si>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</si>
  <si>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</si>
  <si>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</si>
  <si>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</si>
  <si>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</si>
  <si>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</si>
  <si>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</si>
  <si>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</si>
  <si>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</si>
  <si>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</si>
  <si>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</si>
  <si>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</si>
  <si>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</si>
  <si>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</si>
  <si>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</si>
  <si>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</si>
  <si>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</si>
  <si>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</si>
  <si>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</si>
  <si>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</si>
  <si>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</si>
  <si>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</si>
  <si>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</si>
  <si>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</si>
  <si>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</si>
  <si>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</si>
  <si>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</si>
  <si>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</si>
  <si>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</si>
  <si>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</si>
  <si>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</si>
  <si>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</si>
  <si>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</si>
  <si>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</si>
  <si>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</si>
  <si>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</si>
  <si>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</si>
  <si>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</si>
  <si>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</si>
  <si>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</si>
  <si>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</si>
  <si>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</si>
  <si>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</si>
  <si>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</si>
  <si>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</si>
  <si>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</si>
  <si>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</si>
  <si>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</si>
  <si>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</si>
  <si>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</si>
  <si>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</si>
  <si>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</si>
  <si>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</si>
  <si>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</si>
  <si>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</si>
  <si>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</si>
  <si>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</si>
  <si>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</si>
  <si>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</si>
  <si>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</si>
  <si>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</si>
  <si>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</si>
  <si>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</si>
  <si>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</si>
  <si>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</si>
  <si>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</si>
  <si>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</si>
  <si>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</si>
  <si>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</si>
  <si>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</si>
  <si>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</si>
  <si>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</si>
  <si>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</si>
  <si>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</si>
  <si>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</si>
  <si>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</si>
  <si>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</si>
  <si>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</si>
  <si>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</si>
  <si>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</si>
  <si>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</si>
  <si>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</si>
  <si>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</si>
  <si>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</si>
  <si>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</si>
  <si>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</si>
  <si>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</si>
  <si>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</si>
  <si>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</si>
  <si>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</si>
  <si>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</si>
  <si>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</si>
  <si>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</si>
  <si>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</si>
  <si>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</si>
  <si>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</si>
  <si>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</si>
  <si>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</si>
  <si>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</si>
  <si>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</si>
  <si>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</si>
  <si>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</si>
  <si>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</si>
  <si>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</si>
  <si>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</si>
  <si>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</si>
  <si>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</si>
  <si>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</si>
  <si>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</si>
  <si>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</si>
  <si>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</si>
  <si>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</si>
  <si>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</si>
  <si>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</si>
  <si>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</si>
  <si>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</si>
  <si>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</si>
  <si>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</si>
  <si>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</si>
  <si>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</si>
  <si>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</si>
  <si>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</si>
  <si>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</si>
  <si>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</si>
  <si>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</si>
  <si>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</si>
  <si>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</si>
  <si>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</si>
  <si>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</si>
  <si>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</si>
  <si>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</si>
  <si>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</si>
  <si>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</si>
  <si>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</si>
  <si>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</si>
  <si>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</si>
  <si>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</si>
  <si>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</si>
  <si>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</si>
  <si>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</si>
  <si>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</si>
  <si>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</si>
  <si>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</si>
  <si>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</si>
  <si>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</si>
  <si>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</si>
  <si>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</si>
  <si>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</si>
  <si>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</si>
  <si>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</si>
  <si>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</si>
  <si>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</si>
  <si>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</si>
  <si>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</si>
  <si>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</si>
  <si>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</si>
  <si>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</si>
  <si>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</si>
  <si>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</si>
  <si>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</si>
  <si>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</si>
  <si>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</si>
  <si>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</si>
  <si>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</si>
  <si>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</si>
  <si>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</si>
  <si>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</si>
  <si>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</si>
  <si>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</si>
  <si>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</si>
  <si>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</si>
  <si>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</si>
  <si>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</si>
  <si>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</si>
  <si>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</si>
  <si>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</si>
  <si>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</si>
  <si>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</si>
  <si>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</si>
  <si>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</si>
  <si>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</si>
  <si>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</si>
  <si>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</si>
  <si>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</si>
  <si>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</si>
  <si>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</si>
  <si>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</si>
  <si>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</si>
  <si>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</si>
  <si>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</si>
  <si>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</si>
  <si>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</si>
  <si>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</si>
  <si>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</si>
  <si>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</si>
  <si>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</si>
  <si>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</si>
  <si>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</si>
  <si>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</si>
  <si>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</si>
  <si>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</si>
  <si>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</si>
  <si>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</si>
  <si>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</si>
  <si>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</si>
  <si>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</si>
  <si>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</si>
  <si>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</si>
  <si>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</si>
  <si>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</si>
  <si>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</si>
  <si>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</si>
  <si>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</si>
  <si>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</si>
  <si>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</si>
  <si>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</si>
  <si>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</si>
  <si>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</si>
  <si>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</si>
  <si>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</si>
  <si>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</si>
  <si>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</si>
  <si>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</si>
  <si>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</si>
  <si>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</si>
  <si>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</si>
  <si>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</si>
  <si>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</si>
  <si>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</si>
  <si>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</si>
  <si>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</si>
  <si>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</si>
  <si>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</si>
  <si>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</si>
  <si>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</si>
  <si>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</si>
  <si>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</si>
  <si>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</si>
  <si>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</si>
  <si>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</si>
  <si>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</si>
  <si>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</si>
  <si>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</si>
  <si>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</si>
  <si>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</si>
  <si>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</si>
  <si>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</si>
  <si>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</si>
  <si>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</si>
  <si>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</si>
  <si>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</si>
  <si>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</si>
  <si>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</si>
  <si>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</si>
  <si>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</si>
  <si>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</si>
  <si>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</si>
  <si>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</si>
  <si>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</si>
  <si>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</si>
  <si>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</si>
  <si>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</si>
  <si>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</si>
  <si>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</si>
  <si>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</si>
  <si>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</si>
  <si>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</si>
  <si>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</si>
  <si>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</si>
  <si>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</si>
  <si>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</si>
  <si>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</si>
  <si>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</si>
  <si>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</si>
  <si>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</si>
  <si>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</si>
  <si>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</si>
  <si>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</si>
  <si>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</si>
  <si>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</si>
  <si>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</si>
  <si>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</si>
  <si>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</si>
  <si>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</si>
  <si>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</si>
  <si>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</si>
  <si>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</si>
  <si>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</si>
  <si>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</si>
  <si>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</si>
  <si>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</si>
  <si>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</si>
  <si>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</si>
  <si>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</si>
  <si>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</si>
  <si>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</si>
  <si>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</si>
  <si>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</si>
  <si>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</si>
  <si>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</si>
  <si>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</si>
  <si>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</si>
  <si>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</si>
  <si>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</si>
  <si>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</si>
  <si>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</si>
  <si>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</si>
  <si>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</si>
  <si>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</si>
  <si>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</si>
  <si>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</si>
  <si>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</si>
  <si>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</si>
  <si>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</si>
  <si>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</si>
  <si>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</si>
  <si>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</si>
  <si>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</si>
  <si>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</si>
  <si>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</si>
  <si>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</si>
  <si>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</si>
  <si>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</si>
  <si>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</si>
  <si>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</si>
  <si>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</si>
  <si>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</si>
  <si>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</si>
  <si>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</si>
  <si>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</si>
  <si>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</si>
  <si>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</si>
  <si>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</si>
  <si>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</si>
  <si>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</si>
  <si>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</si>
  <si>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</si>
  <si>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</si>
  <si>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</si>
  <si>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</si>
  <si>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</si>
  <si>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</si>
  <si>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</si>
  <si>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</si>
  <si>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</si>
  <si>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</si>
  <si>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</si>
  <si>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</si>
  <si>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</si>
  <si>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</si>
  <si>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</si>
  <si>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</si>
  <si>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</si>
  <si>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</si>
  <si>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</si>
  <si>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</si>
  <si>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</si>
  <si>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</si>
  <si>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</si>
  <si>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</si>
  <si>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</si>
  <si>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</si>
  <si>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</si>
  <si>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</si>
  <si>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</si>
  <si>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</si>
  <si>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</si>
  <si>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</si>
  <si>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</si>
  <si>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</si>
  <si>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</si>
  <si>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</si>
  <si>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</si>
  <si>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</si>
  <si>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</si>
  <si>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</si>
  <si>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</si>
  <si>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</si>
  <si>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</si>
  <si>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</si>
  <si>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</si>
  <si>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</si>
  <si>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</si>
  <si>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</si>
  <si>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</si>
  <si>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</si>
  <si>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</si>
  <si>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</si>
  <si>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</si>
  <si>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</si>
  <si>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</si>
  <si>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</si>
  <si>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</si>
  <si>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</si>
  <si>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</si>
  <si>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</si>
  <si>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</si>
  <si>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</si>
  <si>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</si>
  <si>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</si>
  <si>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</si>
  <si>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</si>
  <si>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</si>
  <si>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</si>
  <si>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</si>
  <si>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</si>
  <si>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</si>
  <si>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</si>
  <si>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</si>
  <si>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</si>
  <si>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</si>
  <si>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</si>
  <si>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</si>
  <si>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</si>
  <si>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</si>
  <si>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</si>
  <si>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</si>
  <si>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</si>
  <si>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</si>
  <si>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</si>
  <si>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</si>
  <si>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</si>
  <si>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</si>
  <si>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</si>
  <si>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</si>
  <si>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</si>
  <si>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</si>
  <si>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</si>
  <si>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</si>
  <si>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</si>
  <si>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</si>
  <si>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</si>
  <si>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</si>
  <si>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</si>
  <si>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</si>
  <si>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</si>
  <si>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</si>
  <si>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</si>
  <si>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</si>
  <si>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</si>
  <si>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</si>
  <si>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</si>
  <si>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</si>
  <si>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</si>
  <si>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</si>
  <si>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</si>
  <si>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</si>
  <si>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</si>
  <si>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</si>
  <si>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</si>
  <si>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</si>
  <si>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</si>
  <si>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</si>
  <si>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</si>
  <si>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</si>
  <si>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</si>
  <si>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</si>
  <si>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</si>
  <si>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</si>
  <si>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</si>
  <si>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</si>
  <si>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</si>
  <si>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</si>
  <si>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</si>
  <si>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</si>
  <si>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</si>
  <si>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</si>
  <si>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</si>
  <si>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</si>
  <si>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</si>
  <si>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</si>
  <si>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</si>
  <si>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</si>
  <si>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</si>
  <si>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</si>
  <si>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</si>
  <si>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</si>
  <si>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</si>
  <si>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</si>
  <si>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</si>
  <si>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</si>
  <si>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</si>
  <si>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</si>
  <si>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</si>
  <si>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</si>
  <si>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</si>
  <si>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</si>
  <si>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</si>
  <si>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</si>
  <si>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</si>
  <si>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</si>
  <si>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</si>
  <si>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</si>
  <si>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</si>
  <si>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</si>
  <si>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</si>
  <si>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</si>
  <si>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</si>
  <si>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</si>
  <si>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</si>
  <si>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</si>
  <si>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</si>
  <si>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</si>
  <si>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</si>
  <si>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</si>
  <si>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</si>
  <si>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</si>
  <si>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</si>
  <si>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</si>
  <si>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</si>
  <si>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</si>
  <si>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</si>
  <si>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</si>
  <si>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</si>
  <si>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</si>
  <si>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</si>
  <si>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</si>
  <si>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</si>
  <si>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</si>
  <si>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</si>
  <si>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</si>
  <si>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</si>
  <si>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</si>
  <si>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</si>
  <si>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</si>
  <si>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</si>
  <si>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</si>
  <si>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</si>
  <si>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</si>
  <si>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</si>
  <si>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</si>
  <si>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</si>
  <si>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</si>
  <si>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</si>
  <si>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</si>
  <si>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</si>
  <si>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</si>
  <si>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</si>
  <si>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</si>
  <si>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</si>
  <si>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</si>
  <si>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</si>
  <si>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</si>
  <si>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</si>
  <si>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</si>
  <si>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</si>
  <si>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</si>
  <si>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</si>
  <si>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</si>
  <si>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</si>
  <si>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</si>
  <si>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</si>
  <si>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</si>
  <si>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</si>
  <si>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</si>
  <si>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</si>
  <si>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</si>
  <si>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</si>
  <si>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</si>
  <si>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</si>
  <si>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</si>
  <si>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</si>
  <si>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</si>
  <si>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</si>
  <si>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</si>
  <si>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</si>
  <si>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</si>
  <si>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</si>
  <si>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</si>
  <si>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</si>
  <si>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</si>
  <si>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</si>
  <si>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</si>
  <si>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</si>
  <si>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</si>
  <si>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</si>
  <si>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</si>
  <si>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</si>
  <si>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</si>
  <si>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</si>
  <si>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</si>
  <si>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</si>
  <si>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</si>
  <si>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</si>
  <si>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</si>
  <si>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</si>
  <si>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</si>
  <si>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</si>
  <si>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</si>
  <si>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</si>
  <si>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</si>
  <si>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</si>
  <si>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</si>
  <si>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</si>
  <si>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</si>
  <si>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</si>
  <si>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</si>
  <si>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</si>
  <si>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</si>
  <si>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</si>
  <si>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</si>
  <si>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</si>
  <si>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</si>
  <si>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</si>
  <si>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</si>
  <si>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</si>
  <si>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</si>
  <si>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</si>
  <si>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</si>
  <si>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</si>
  <si>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</si>
  <si>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</si>
  <si>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</si>
  <si>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</si>
  <si>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</si>
  <si>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</si>
  <si>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</si>
  <si>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</si>
  <si>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</si>
  <si>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</si>
  <si>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</si>
  <si>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</si>
  <si>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</si>
  <si>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</si>
  <si>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</si>
  <si>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</si>
  <si>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</si>
  <si>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</si>
  <si>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</si>
  <si>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</si>
  <si>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</si>
  <si>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</si>
  <si>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</si>
  <si>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</si>
  <si>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</si>
  <si>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</si>
  <si>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</si>
  <si>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</si>
  <si>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</si>
  <si>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</si>
  <si>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</si>
  <si>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</si>
  <si>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</si>
  <si>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</si>
  <si>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</si>
  <si>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</si>
  <si>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</si>
  <si>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</si>
  <si>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</si>
  <si>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</si>
  <si>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</si>
  <si>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</si>
  <si>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</si>
  <si>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</si>
  <si>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</si>
  <si>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</si>
  <si>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</si>
  <si>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</si>
  <si>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</si>
  <si>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</si>
  <si>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</si>
  <si>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</si>
  <si>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</si>
  <si>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</si>
  <si>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</si>
  <si>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</si>
  <si>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</si>
  <si>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</si>
  <si>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</si>
  <si>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</si>
  <si>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</si>
  <si>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</si>
  <si>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</si>
  <si>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</si>
  <si>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</si>
  <si>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</si>
  <si>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</si>
  <si>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</si>
  <si>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</si>
  <si>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</si>
  <si>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</si>
  <si>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</si>
  <si>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</si>
  <si>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</si>
  <si>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</si>
  <si>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</si>
  <si>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</si>
  <si>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</si>
  <si>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</si>
  <si>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</si>
  <si>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</si>
  <si>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</si>
  <si>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</si>
  <si>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</si>
  <si>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</si>
  <si>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</si>
  <si>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</si>
  <si>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</si>
  <si>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</si>
  <si>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</si>
  <si>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</si>
  <si>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</si>
  <si>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</si>
  <si>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</si>
  <si>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</si>
  <si>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</si>
  <si>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</si>
  <si>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</si>
  <si>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</si>
  <si>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</si>
  <si>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</si>
  <si>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</si>
  <si>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</si>
  <si>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</si>
  <si>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</si>
  <si>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</si>
  <si>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</si>
  <si>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</si>
  <si>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</si>
  <si>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</si>
  <si>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</si>
  <si>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</si>
  <si>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</si>
  <si>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</si>
  <si>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</si>
  <si>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</si>
  <si>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</si>
  <si>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</si>
  <si>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</si>
  <si>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</si>
  <si>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</si>
  <si>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</si>
  <si>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</si>
  <si>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</si>
  <si>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</si>
  <si>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</si>
  <si>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</si>
  <si>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</si>
  <si>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</si>
  <si>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</si>
  <si>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</si>
  <si>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</si>
  <si>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</si>
  <si>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</si>
  <si>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</si>
  <si>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</si>
  <si>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</si>
  <si>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</si>
  <si>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</si>
  <si>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</si>
  <si>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</si>
  <si>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</si>
  <si>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</si>
  <si>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</si>
  <si>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</si>
  <si>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</si>
  <si>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</si>
  <si>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</si>
  <si>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</si>
  <si>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</si>
  <si>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</si>
  <si>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</si>
  <si>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</si>
  <si>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</si>
  <si>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</si>
  <si>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</si>
  <si>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</si>
  <si>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</si>
  <si>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</si>
  <si>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</si>
  <si>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</si>
  <si>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</si>
  <si>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</si>
  <si>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</si>
  <si>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</si>
  <si>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</si>
  <si>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</si>
  <si>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</si>
  <si>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</si>
  <si>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</si>
  <si>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</si>
  <si>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</si>
  <si>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</si>
  <si>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</si>
  <si>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</si>
  <si>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</si>
  <si>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</si>
  <si>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</si>
  <si>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</si>
  <si>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</si>
  <si>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</si>
  <si>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</si>
  <si>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</si>
  <si>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</si>
  <si>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</si>
  <si>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</si>
  <si>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</si>
  <si>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</si>
  <si>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</si>
  <si>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</si>
  <si>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</si>
  <si>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</si>
  <si>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</si>
  <si>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</si>
  <si>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</si>
  <si>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</si>
  <si>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</si>
  <si>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</si>
  <si>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</si>
  <si>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</si>
  <si>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</si>
  <si>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</si>
  <si>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</si>
  <si>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</si>
  <si>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</si>
  <si>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</si>
  <si>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</si>
  <si>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</si>
  <si>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</si>
  <si>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</si>
  <si>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</si>
  <si>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</si>
  <si>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</si>
  <si>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</si>
  <si>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</si>
  <si>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</si>
  <si>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</si>
  <si>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</si>
  <si>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</si>
  <si>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</si>
  <si>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</si>
  <si>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</si>
  <si>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</si>
  <si>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</si>
  <si>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</si>
  <si>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</si>
  <si>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</si>
  <si>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</si>
  <si>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</si>
  <si>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</si>
  <si>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</si>
  <si>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</si>
  <si>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</si>
  <si>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</si>
  <si>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</si>
  <si>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</si>
  <si>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</si>
  <si>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</si>
  <si>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</si>
  <si>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</si>
  <si>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</si>
  <si>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</si>
  <si>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</si>
  <si>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</si>
  <si>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</si>
  <si>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</si>
  <si>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</si>
  <si>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</si>
  <si>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</si>
  <si>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</si>
  <si>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</si>
  <si>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</si>
  <si>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</si>
  <si>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</si>
  <si>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</si>
  <si>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</si>
  <si>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</si>
  <si>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</si>
  <si>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</si>
  <si>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</si>
  <si>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</si>
  <si>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</si>
  <si>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</si>
  <si>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</si>
  <si>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</si>
  <si>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</si>
  <si>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</si>
  <si>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</si>
  <si>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</si>
  <si>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</si>
  <si>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</si>
  <si>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</si>
  <si>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</si>
  <si>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</si>
  <si>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</si>
  <si>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</si>
  <si>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</si>
  <si>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</si>
  <si>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</si>
  <si>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</si>
  <si>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</si>
  <si>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</si>
  <si>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</si>
  <si>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</si>
  <si>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</si>
  <si>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</si>
  <si>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</si>
  <si>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</si>
  <si>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</si>
  <si>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</si>
  <si>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</si>
  <si>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</si>
  <si>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</si>
  <si>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</si>
  <si>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</si>
  <si>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</si>
  <si>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</si>
  <si>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</si>
  <si>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</si>
  <si>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</si>
  <si>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</si>
  <si>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</si>
  <si>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</si>
  <si>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</si>
  <si>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</si>
  <si>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</si>
  <si>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</si>
  <si>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</si>
  <si>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</si>
  <si>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</si>
  <si>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</si>
  <si>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</si>
  <si>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</si>
  <si>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</si>
  <si>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</si>
  <si>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</si>
  <si>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</si>
  <si>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</si>
  <si>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</si>
  <si>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</si>
  <si>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</si>
  <si>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</si>
  <si>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</si>
  <si>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</si>
  <si>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</si>
  <si>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</si>
  <si>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</si>
  <si>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</si>
  <si>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</si>
  <si>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</si>
  <si>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</si>
  <si>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</si>
  <si>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</si>
  <si>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</si>
  <si>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</si>
  <si>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</si>
  <si>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</si>
  <si>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</si>
  <si>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</si>
  <si>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</si>
  <si>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</si>
  <si>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</si>
  <si>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</si>
  <si>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</si>
  <si>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</si>
  <si>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</si>
  <si>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</si>
  <si>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</si>
  <si>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</si>
  <si>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</si>
  <si>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</si>
  <si>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</si>
  <si>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</si>
  <si>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</si>
  <si>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</si>
  <si>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</si>
  <si>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</si>
  <si>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</si>
  <si>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</si>
  <si>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</si>
  <si>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</si>
  <si>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</si>
  <si>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</si>
  <si>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</si>
  <si>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</si>
  <si>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</si>
  <si>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</si>
  <si>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</si>
  <si>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</si>
  <si>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</si>
  <si>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</si>
  <si>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</si>
  <si>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</si>
  <si>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</si>
  <si>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</si>
  <si>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</si>
  <si>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</si>
  <si>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</si>
  <si>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</si>
  <si>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</si>
  <si>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</si>
  <si>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</si>
  <si>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</si>
  <si>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</si>
  <si>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</si>
  <si>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</si>
  <si>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</si>
  <si>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</si>
  <si>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</si>
  <si>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</si>
  <si>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</si>
  <si>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</si>
  <si>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</si>
  <si>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</si>
  <si>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</si>
  <si>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</si>
  <si>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</si>
  <si>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</si>
  <si>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</si>
  <si>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</si>
  <si>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</si>
  <si>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</si>
  <si>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</si>
  <si>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</si>
  <si>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</si>
  <si>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</si>
  <si>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</si>
  <si>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</si>
  <si>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</si>
  <si>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</si>
  <si>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</si>
  <si>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</si>
  <si>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</si>
  <si>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</si>
  <si>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</si>
  <si>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</si>
  <si>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</si>
  <si>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</si>
  <si>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</si>
  <si>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</si>
  <si>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</si>
  <si>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</si>
  <si>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</si>
  <si>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</si>
  <si>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</si>
  <si>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</si>
  <si>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</si>
  <si>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</si>
  <si>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</si>
  <si>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</si>
  <si>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</si>
  <si>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</si>
  <si>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</si>
  <si>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</si>
  <si>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</si>
  <si>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</si>
  <si>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</si>
  <si>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</si>
  <si>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</si>
  <si>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</si>
  <si>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</si>
  <si>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</si>
  <si>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</si>
  <si>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</si>
  <si>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</si>
  <si>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</si>
  <si>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</si>
  <si>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</si>
  <si>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</si>
  <si>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</si>
  <si>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</si>
  <si>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</si>
  <si>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</si>
  <si>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</si>
  <si>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</si>
  <si>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</si>
  <si>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</si>
  <si>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</si>
  <si>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</si>
  <si>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</si>
  <si>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</si>
  <si>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</si>
  <si>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</si>
  <si>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</si>
  <si>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</si>
  <si>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</si>
  <si>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</si>
  <si>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</si>
  <si>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</si>
  <si>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</si>
  <si>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</si>
  <si>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</si>
  <si>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</si>
  <si>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</si>
  <si>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</si>
  <si>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</si>
  <si>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</si>
  <si>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</si>
  <si>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</si>
  <si>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</si>
  <si>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</si>
  <si>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</si>
  <si>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</si>
  <si>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</si>
  <si>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</si>
  <si>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</si>
  <si>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</si>
  <si>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</si>
  <si>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</si>
  <si>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</si>
  <si>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</si>
  <si>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</si>
  <si>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</si>
  <si>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</si>
  <si>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</si>
  <si>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</si>
  <si>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</si>
  <si>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</si>
  <si>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</si>
  <si>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</si>
  <si>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</si>
  <si>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</si>
  <si>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</si>
  <si>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</si>
  <si>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</si>
  <si>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</si>
  <si>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</si>
  <si>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</si>
  <si>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</si>
  <si>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</si>
  <si>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</si>
  <si>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</si>
  <si>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</si>
  <si>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</si>
  <si>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</si>
  <si>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</si>
  <si>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</si>
  <si>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</si>
  <si>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</si>
  <si>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</si>
  <si>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</si>
  <si>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</si>
  <si>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</si>
  <si>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</si>
  <si>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</si>
  <si>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</si>
  <si>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</si>
  <si>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</si>
  <si>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</si>
  <si>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</si>
  <si>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</si>
  <si>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</si>
  <si>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</si>
  <si>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</si>
  <si>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</si>
  <si>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</si>
  <si>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</si>
  <si>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</si>
  <si>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</si>
  <si>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</si>
  <si>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</si>
  <si>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</si>
  <si>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</si>
  <si>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</si>
  <si>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</si>
  <si>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</si>
  <si>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</si>
  <si>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</si>
  <si>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</si>
  <si>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</si>
  <si>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</si>
  <si>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</si>
  <si>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</si>
  <si>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</si>
  <si>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</si>
  <si>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</si>
  <si>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</si>
  <si>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</si>
  <si>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</si>
  <si>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</si>
  <si>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</si>
  <si>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</si>
  <si>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</si>
  <si>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</si>
  <si>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</si>
  <si>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</si>
  <si>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</si>
  <si>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</si>
  <si>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</si>
  <si>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</si>
  <si>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</si>
  <si>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</si>
  <si>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</si>
  <si>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</si>
  <si>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</si>
  <si>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</si>
  <si>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</si>
  <si>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</si>
  <si>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</si>
  <si>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</si>
  <si>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</si>
  <si>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</si>
  <si>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</si>
  <si>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</si>
  <si>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</si>
  <si>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</si>
  <si>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</si>
  <si>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</si>
  <si>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</si>
  <si>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</si>
  <si>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</si>
  <si>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</si>
  <si>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</si>
  <si>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</si>
  <si>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</si>
  <si>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</si>
  <si>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</si>
  <si>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</si>
  <si>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</si>
  <si>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</si>
  <si>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</si>
  <si>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</si>
  <si>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</si>
  <si>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</si>
  <si>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</si>
  <si>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</si>
  <si>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</si>
  <si>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</si>
  <si>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</si>
  <si>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</si>
  <si>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</si>
  <si>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</si>
  <si>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</si>
  <si>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</si>
  <si>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</si>
  <si>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</si>
  <si>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</si>
  <si>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</si>
  <si>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</si>
  <si>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</si>
  <si>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</si>
  <si>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</si>
  <si>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</si>
  <si>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</si>
  <si>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</si>
  <si>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</si>
  <si>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</si>
  <si>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</si>
  <si>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</si>
  <si>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</si>
  <si>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</si>
  <si>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</si>
  <si>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</si>
  <si>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</si>
  <si>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</si>
  <si>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</si>
  <si>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</si>
  <si>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</si>
  <si>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</si>
  <si>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</si>
  <si>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</si>
  <si>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</si>
  <si>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</si>
  <si>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</si>
  <si>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</si>
  <si>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</si>
  <si>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</si>
  <si>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</si>
  <si>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</si>
  <si>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</si>
  <si>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</si>
  <si>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</si>
  <si>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</si>
  <si>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</si>
  <si>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</si>
  <si>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</si>
  <si>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</si>
  <si>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</si>
  <si>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</si>
  <si>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</si>
  <si>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</si>
  <si>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</si>
  <si>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</si>
  <si>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</si>
  <si>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</si>
  <si>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</si>
  <si>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</si>
  <si>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</si>
  <si>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</si>
  <si>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</si>
  <si>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</si>
  <si>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</si>
  <si>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</si>
  <si>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</si>
  <si>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</si>
  <si>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</si>
  <si>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</si>
  <si>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</si>
  <si>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</si>
  <si>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</si>
  <si>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</si>
  <si>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</si>
  <si>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</si>
  <si>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</si>
  <si>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</si>
  <si>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</si>
  <si>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</si>
  <si>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</si>
  <si>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</si>
  <si>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</si>
  <si>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</si>
  <si>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</si>
  <si>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</si>
  <si>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</si>
  <si>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</si>
  <si>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</si>
  <si>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</si>
  <si>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</si>
  <si>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</si>
  <si>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</si>
  <si>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</si>
  <si>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</si>
  <si>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</si>
  <si>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</si>
  <si>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</si>
  <si>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</si>
  <si>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</si>
  <si>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</si>
  <si>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</si>
  <si>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</si>
  <si>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</si>
  <si>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</si>
  <si>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</si>
  <si>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</si>
  <si>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</si>
  <si>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</si>
  <si>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</si>
  <si>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</si>
  <si>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</si>
  <si>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</si>
  <si>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</si>
  <si>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</si>
  <si>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</si>
  <si>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</si>
  <si>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</si>
  <si>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</si>
  <si>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</si>
  <si>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</si>
  <si>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</si>
  <si>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</si>
  <si>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</si>
  <si>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</si>
  <si>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</si>
  <si>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</si>
  <si>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</si>
  <si>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</si>
  <si>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</si>
  <si>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</si>
  <si>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</si>
  <si>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</si>
  <si>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</si>
  <si>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</si>
  <si>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</si>
  <si>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</si>
  <si>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</si>
  <si>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</si>
  <si>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</si>
  <si>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</si>
  <si>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</si>
  <si>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</si>
  <si>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</si>
  <si>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</si>
  <si>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</si>
  <si>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</si>
  <si>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</si>
  <si>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</si>
  <si>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</si>
  <si>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</si>
  <si>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</si>
  <si>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</si>
  <si>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</si>
  <si>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</si>
  <si>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</si>
  <si>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</si>
  <si>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</si>
  <si>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</si>
  <si>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</si>
  <si>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</si>
  <si>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</si>
  <si>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</si>
  <si>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</si>
  <si>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</si>
  <si>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</si>
  <si>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</si>
  <si>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</si>
  <si>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</si>
  <si>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</si>
  <si>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</si>
  <si>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</si>
  <si>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</si>
  <si>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</si>
  <si>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</si>
  <si>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</si>
  <si>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</si>
  <si>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</si>
  <si>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</si>
  <si>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</si>
  <si>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</si>
  <si>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</si>
  <si>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</si>
  <si>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</si>
  <si>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</si>
  <si>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</si>
  <si>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</si>
  <si>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</si>
  <si>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</si>
  <si>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</si>
  <si>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</si>
  <si>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</si>
  <si>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</si>
  <si>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</si>
  <si>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</si>
  <si>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</si>
  <si>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</si>
  <si>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</si>
  <si>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</si>
  <si>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</si>
  <si>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</si>
  <si>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</si>
  <si>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</si>
  <si>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</si>
  <si>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</si>
  <si>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</si>
  <si>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</si>
  <si>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</si>
  <si>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</si>
  <si>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</si>
  <si>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</si>
  <si>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</si>
  <si>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</si>
  <si>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</si>
  <si>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</si>
  <si>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</si>
  <si>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</si>
  <si>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</si>
  <si>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</si>
  <si>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</si>
  <si>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</si>
  <si>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</si>
  <si>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</si>
  <si>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</si>
  <si>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</si>
  <si>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</si>
  <si>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</si>
  <si>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</si>
  <si>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</si>
  <si>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</si>
  <si>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</si>
  <si>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</si>
  <si>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</si>
  <si>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</si>
  <si>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</si>
  <si>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</si>
  <si>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</si>
  <si>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</si>
  <si>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</si>
  <si>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</si>
  <si>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</si>
  <si>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</si>
  <si>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</si>
  <si>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</si>
  <si>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</si>
  <si>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</si>
  <si>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</si>
  <si>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</si>
  <si>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</si>
  <si>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</si>
  <si>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</si>
  <si>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</si>
  <si>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</si>
  <si>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</si>
  <si>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</si>
  <si>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</si>
  <si>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</si>
  <si>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</si>
  <si>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</si>
  <si>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</si>
  <si>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</si>
  <si>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</si>
  <si>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</si>
  <si>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</si>
  <si>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</si>
  <si>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</si>
  <si>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</si>
  <si>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</si>
  <si>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</si>
  <si>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</si>
  <si>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</si>
  <si>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</si>
  <si>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</si>
  <si>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</si>
  <si>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</si>
  <si>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</si>
  <si>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</si>
  <si>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</si>
  <si>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</si>
  <si>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</si>
  <si>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</si>
  <si>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</si>
  <si>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</si>
  <si>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</si>
  <si>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</si>
  <si>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</si>
  <si>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</si>
  <si>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</si>
  <si>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</si>
  <si>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</si>
  <si>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</si>
  <si>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</si>
  <si>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</si>
  <si>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</si>
  <si>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</si>
  <si>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</si>
  <si>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</si>
  <si>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</si>
  <si>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</si>
  <si>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</si>
  <si>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</si>
  <si>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</si>
  <si>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</si>
  <si>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</si>
  <si>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</si>
  <si>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</si>
  <si>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</si>
  <si>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</si>
  <si>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</si>
  <si>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</si>
  <si>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</si>
  <si>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</si>
  <si>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</si>
  <si>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</si>
  <si>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</si>
  <si>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</si>
  <si>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</si>
  <si>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</si>
  <si>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</si>
  <si>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</si>
  <si>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</si>
  <si>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</si>
  <si>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</si>
  <si>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</si>
  <si>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</si>
  <si>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</si>
  <si>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</si>
  <si>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</si>
  <si>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</si>
  <si>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</si>
  <si>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</si>
  <si>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</si>
  <si>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</si>
  <si>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</si>
  <si>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</si>
  <si>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</si>
  <si>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</si>
  <si>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</si>
  <si>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</si>
  <si>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</si>
  <si>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</si>
  <si>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</si>
  <si>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</si>
  <si>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</si>
  <si>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</si>
  <si>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</si>
  <si>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</si>
  <si>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</si>
  <si>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</si>
  <si>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</si>
  <si>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</si>
  <si>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</si>
  <si>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</si>
  <si>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</si>
  <si>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</si>
  <si>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</si>
  <si>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</si>
  <si>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</si>
  <si>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</si>
  <si>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</si>
  <si>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</si>
  <si>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</si>
  <si>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</si>
  <si>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</si>
  <si>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</si>
  <si>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</si>
  <si>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</si>
  <si>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</si>
  <si>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</si>
  <si>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</si>
  <si>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</si>
  <si>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</si>
  <si>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</si>
  <si>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</si>
  <si>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</si>
  <si>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</si>
  <si>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</si>
  <si>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</si>
  <si>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</si>
  <si>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</si>
  <si>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</si>
  <si>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</si>
  <si>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</si>
  <si>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</si>
  <si>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</si>
  <si>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</si>
  <si>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</si>
  <si>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</si>
  <si>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</si>
  <si>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</si>
  <si>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</si>
  <si>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</si>
  <si>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</si>
  <si>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</si>
  <si>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</si>
  <si>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</si>
  <si>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</si>
  <si>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</si>
  <si>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</si>
  <si>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</si>
  <si>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</si>
  <si>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</si>
  <si>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</si>
  <si>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</si>
  <si>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</si>
  <si>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</si>
  <si>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</si>
  <si>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</si>
  <si>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</si>
  <si>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</si>
  <si>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</si>
  <si>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</si>
  <si>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</si>
  <si>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</si>
  <si>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</si>
  <si>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</si>
  <si>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</si>
  <si>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</si>
  <si>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</si>
  <si>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</si>
  <si>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</si>
  <si>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</si>
  <si>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</si>
  <si>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</si>
  <si>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</si>
  <si>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</si>
  <si>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</si>
  <si>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</si>
  <si>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</si>
  <si>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</si>
  <si>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</si>
  <si>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</si>
  <si>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</si>
  <si>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</si>
  <si>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</si>
  <si>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</si>
  <si>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</si>
  <si>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</si>
  <si>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</si>
  <si>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</si>
  <si>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</si>
  <si>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</si>
  <si>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</si>
  <si>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</si>
  <si>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</si>
  <si>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</si>
  <si>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</si>
  <si>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</si>
  <si>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</si>
  <si>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</si>
  <si>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</si>
  <si>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</si>
  <si>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</si>
  <si>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</si>
  <si>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</si>
  <si>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</si>
  <si>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</si>
  <si>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</si>
  <si>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</si>
  <si>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</si>
  <si>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</si>
  <si>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</si>
  <si>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</si>
  <si>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</si>
  <si>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</si>
  <si>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</si>
  <si>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</si>
  <si>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</si>
  <si>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</si>
  <si>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</si>
  <si>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</si>
  <si>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</si>
  <si>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</si>
  <si>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</si>
  <si>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</si>
  <si>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</si>
  <si>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</si>
  <si>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</si>
  <si>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</si>
  <si>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</si>
  <si>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</si>
  <si>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</si>
  <si>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</si>
  <si>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</si>
  <si>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</si>
  <si>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</si>
  <si>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</si>
  <si>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</si>
  <si>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</si>
  <si>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</si>
  <si>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</si>
  <si>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</si>
  <si>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</si>
  <si>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</si>
  <si>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</si>
  <si>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</si>
  <si>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</si>
  <si>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</si>
  <si>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</si>
  <si>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</si>
  <si>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</si>
  <si>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</si>
  <si>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</si>
  <si>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</si>
  <si>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</si>
  <si>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</si>
  <si>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</si>
  <si>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</si>
  <si>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</si>
  <si>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</si>
  <si>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</si>
  <si>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</si>
  <si>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</si>
  <si>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</si>
  <si>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</si>
  <si>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</si>
  <si>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</si>
  <si>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</si>
  <si>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</si>
  <si>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</si>
  <si>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</si>
  <si>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</si>
  <si>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</si>
  <si>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</si>
  <si>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</si>
  <si>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</si>
  <si>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</si>
  <si>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</si>
  <si>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</si>
  <si>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</si>
  <si>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</si>
  <si>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</si>
  <si>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</si>
  <si>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</si>
  <si>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</si>
  <si>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</si>
  <si>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</si>
  <si>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</si>
  <si>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</si>
  <si>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</si>
  <si>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</si>
  <si>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</si>
  <si>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</si>
  <si>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</si>
  <si>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</si>
  <si>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</si>
  <si>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</si>
  <si>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</si>
  <si>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</si>
  <si>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</si>
  <si>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</si>
  <si>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</si>
  <si>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</si>
  <si>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</si>
  <si>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</si>
  <si>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</si>
  <si>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</si>
  <si>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</si>
  <si>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</si>
  <si>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</si>
  <si>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</si>
  <si>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</si>
  <si>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</si>
  <si>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</si>
  <si>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</si>
  <si>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</si>
  <si>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</si>
  <si>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</si>
  <si>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</si>
  <si>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</si>
  <si>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</si>
  <si>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</si>
  <si>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</si>
  <si>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</si>
  <si>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</si>
  <si>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</si>
  <si>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</si>
  <si>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</si>
  <si>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</si>
  <si>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</si>
  <si>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</si>
  <si>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</si>
  <si>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</si>
  <si>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</si>
  <si>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</si>
  <si>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</si>
  <si>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</si>
  <si>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</si>
  <si>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</si>
  <si>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</si>
  <si>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</si>
  <si>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</si>
  <si>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</si>
  <si>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</si>
  <si>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</si>
  <si>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</si>
  <si>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</si>
  <si>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</si>
  <si>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</si>
  <si>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</si>
  <si>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</si>
  <si>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</si>
  <si>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</si>
  <si>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</si>
  <si>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</si>
  <si>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</si>
  <si>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</si>
  <si>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</si>
  <si>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</si>
  <si>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</si>
  <si>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</si>
  <si>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</si>
  <si>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</si>
  <si>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</si>
  <si>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</si>
  <si>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</si>
  <si>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</si>
  <si>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</si>
  <si>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</si>
  <si>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</si>
  <si>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</si>
  <si>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</si>
  <si>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</si>
  <si>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</si>
  <si>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</si>
  <si>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</si>
  <si>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</si>
  <si>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</si>
  <si>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</si>
  <si>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</si>
  <si>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</si>
  <si>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</si>
  <si>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</si>
  <si>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</si>
  <si>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</si>
  <si>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</si>
  <si>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</si>
  <si>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</si>
  <si>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</si>
  <si>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</si>
  <si>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</si>
  <si>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</si>
  <si>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</si>
  <si>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</si>
  <si>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</si>
  <si>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</si>
  <si>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</si>
  <si>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</si>
  <si>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</si>
  <si>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</si>
  <si>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</si>
  <si>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</si>
  <si>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</si>
  <si>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</si>
  <si>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</si>
  <si>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</si>
  <si>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</si>
  <si>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</si>
  <si>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</si>
  <si>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</si>
  <si>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</si>
  <si>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</si>
  <si>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</si>
  <si>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</si>
  <si>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</si>
  <si>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</si>
  <si>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</si>
  <si>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</si>
  <si>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</si>
  <si>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</si>
  <si>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</si>
  <si>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</si>
  <si>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</si>
  <si>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</si>
  <si>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</si>
  <si>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</si>
  <si>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</si>
  <si>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</si>
  <si>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</si>
  <si>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</si>
  <si>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</si>
  <si>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</si>
  <si>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</si>
  <si>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</si>
  <si>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</si>
  <si>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</si>
  <si>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</si>
  <si>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</si>
  <si>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</si>
  <si>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</si>
  <si>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</si>
  <si>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</si>
  <si>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</si>
  <si>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</si>
  <si>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</si>
  <si>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</si>
  <si>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</si>
  <si>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</si>
  <si>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</si>
  <si>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</si>
  <si>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</si>
  <si>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</si>
  <si>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</si>
  <si>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</si>
  <si>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</si>
  <si>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</si>
  <si>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</si>
  <si>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</si>
  <si>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</si>
  <si>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</si>
  <si>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</si>
  <si>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</si>
  <si>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</si>
  <si>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</si>
  <si>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</si>
  <si>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</si>
  <si>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</si>
  <si>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</si>
  <si>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</si>
  <si>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</si>
  <si>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</si>
  <si>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</si>
  <si>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</si>
  <si>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</si>
  <si>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</si>
  <si>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</si>
  <si>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</si>
  <si>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</si>
  <si>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</si>
  <si>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</si>
  <si>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</si>
  <si>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</si>
  <si>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</si>
  <si>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</si>
  <si>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</si>
  <si>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</si>
  <si>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</si>
  <si>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</si>
  <si>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</si>
  <si>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</si>
  <si>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</si>
  <si>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</si>
  <si>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</si>
  <si>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</si>
  <si>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</si>
  <si>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</si>
  <si>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</si>
  <si>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</si>
  <si>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</si>
  <si>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</si>
  <si>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</si>
  <si>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</si>
  <si>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</si>
  <si>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</si>
  <si>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</si>
  <si>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</si>
  <si>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</si>
  <si>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</si>
  <si>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</si>
  <si>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</si>
  <si>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</si>
  <si>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</si>
  <si>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</si>
  <si>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</si>
  <si>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</si>
  <si>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</si>
  <si>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</si>
  <si>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</si>
  <si>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</si>
  <si>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</si>
  <si>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</si>
  <si>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</si>
  <si>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</si>
  <si>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</si>
  <si>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</si>
  <si>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</si>
  <si>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</si>
  <si>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</si>
  <si>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</si>
  <si>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</si>
  <si>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</si>
  <si>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</si>
  <si>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</si>
  <si>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</si>
  <si>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</si>
  <si>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</si>
  <si>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</si>
  <si>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</si>
  <si>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</si>
  <si>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</si>
  <si>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</si>
  <si>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</si>
  <si>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</si>
  <si>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</si>
  <si>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</si>
  <si>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</si>
  <si>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</si>
  <si>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</si>
  <si>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</si>
  <si>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</si>
  <si>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</si>
  <si>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</si>
  <si>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</si>
  <si>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</si>
  <si>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</si>
  <si>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</si>
  <si>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</si>
  <si>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</si>
  <si>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</si>
  <si>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</si>
  <si>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</si>
  <si>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</si>
  <si>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</si>
  <si>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</si>
  <si>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</si>
  <si>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</si>
  <si>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</si>
  <si>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</si>
  <si>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</si>
  <si>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</si>
  <si>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</si>
  <si>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</si>
  <si>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</si>
  <si>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</si>
  <si>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</si>
  <si>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</si>
  <si>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</si>
  <si>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</si>
  <si>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</si>
  <si>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</si>
  <si>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</si>
  <si>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</si>
  <si>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</si>
  <si>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</si>
  <si>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</si>
  <si>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</si>
  <si>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</si>
  <si>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</si>
  <si>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</si>
  <si>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</si>
  <si>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</si>
  <si>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</si>
  <si>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</si>
  <si>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</si>
  <si>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</si>
  <si>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</si>
  <si>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</si>
  <si>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</si>
  <si>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</si>
  <si>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</si>
  <si>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</si>
  <si>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</si>
  <si>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</si>
  <si>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</si>
  <si>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</si>
  <si>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</si>
  <si>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</si>
  <si>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</si>
  <si>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</si>
  <si>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</si>
  <si>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</si>
  <si>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</si>
  <si>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</si>
  <si>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</si>
  <si>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</si>
  <si>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</si>
  <si>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</si>
  <si>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</si>
  <si>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</si>
  <si>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</si>
  <si>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</si>
  <si>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</si>
  <si>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</si>
  <si>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</si>
  <si>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</si>
  <si>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</si>
  <si>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</si>
  <si>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</si>
  <si>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</si>
  <si>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</si>
  <si>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</si>
  <si>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</si>
  <si>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</si>
  <si>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</si>
  <si>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</si>
  <si>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</si>
  <si>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</si>
  <si>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</si>
  <si>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</si>
  <si>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</si>
  <si>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</si>
  <si>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</si>
  <si>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</si>
  <si>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</si>
  <si>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</si>
  <si>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</si>
  <si>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</si>
  <si>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</si>
  <si>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</si>
  <si>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</si>
  <si>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</si>
  <si>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</si>
  <si>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</si>
  <si>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</si>
  <si>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</si>
  <si>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</si>
  <si>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</si>
  <si>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</si>
  <si>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</si>
  <si>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</si>
  <si>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</si>
  <si>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</si>
  <si>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</si>
  <si>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</si>
  <si>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</si>
  <si>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</si>
  <si>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</si>
  <si>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</si>
  <si>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</si>
  <si>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</si>
  <si>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</si>
  <si>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</si>
  <si>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</si>
  <si>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</si>
  <si>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</si>
  <si>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</si>
  <si>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</si>
  <si>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</si>
  <si>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</si>
  <si>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</si>
  <si>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</si>
  <si>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</si>
  <si>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</si>
  <si>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</si>
  <si>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</si>
  <si>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</si>
  <si>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</si>
  <si>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</si>
  <si>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</si>
  <si>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</si>
  <si>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</si>
  <si>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</si>
  <si>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</si>
  <si>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</si>
  <si>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</si>
  <si>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</si>
  <si>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</si>
  <si>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</si>
  <si>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</si>
  <si>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</si>
  <si>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</si>
  <si>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</si>
  <si>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</si>
  <si>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</si>
  <si>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</si>
  <si>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</si>
  <si>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</si>
  <si>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</si>
  <si>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</si>
  <si>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</si>
  <si>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</si>
  <si>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</si>
  <si>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</si>
  <si>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</si>
  <si>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</si>
  <si>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</si>
  <si>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</si>
  <si>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</si>
  <si>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</si>
  <si>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</si>
  <si>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</si>
  <si>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</si>
  <si>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</si>
  <si>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</si>
  <si>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</si>
  <si>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</si>
  <si>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</si>
  <si>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</si>
  <si>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</si>
  <si>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</si>
  <si>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</si>
  <si>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</si>
  <si>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</si>
  <si>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</si>
  <si>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</si>
  <si>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</si>
  <si>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</si>
  <si>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</si>
  <si>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</si>
  <si>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</si>
  <si>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</si>
  <si>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</si>
  <si>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</si>
  <si>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</si>
  <si>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</si>
  <si>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</si>
  <si>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</si>
  <si>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</si>
  <si>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</si>
  <si>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</si>
  <si>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</si>
  <si>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</si>
  <si>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</si>
  <si>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</si>
  <si>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</si>
  <si>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</si>
  <si>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</si>
  <si>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</si>
  <si>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</si>
  <si>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</si>
  <si>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</si>
  <si>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</si>
  <si>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</si>
  <si>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</si>
  <si>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</si>
  <si>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</si>
  <si>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</si>
  <si>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</si>
  <si>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</si>
  <si>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</si>
  <si>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</si>
  <si>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</si>
  <si>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</si>
  <si>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</si>
  <si>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</si>
  <si>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</si>
  <si>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</si>
  <si>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</si>
  <si>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</si>
  <si>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</si>
  <si>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</si>
  <si>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</si>
  <si>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</si>
  <si>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</si>
  <si>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</si>
  <si>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</si>
  <si>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</si>
  <si>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</si>
  <si>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</si>
  <si>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</si>
  <si>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</si>
  <si>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</si>
  <si>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</si>
  <si>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</si>
  <si>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</si>
  <si>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</si>
  <si>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</si>
  <si>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</si>
  <si>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</si>
  <si>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</si>
  <si>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</si>
  <si>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</si>
  <si>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</si>
  <si>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</si>
  <si>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</si>
  <si>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</si>
  <si>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</si>
  <si>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</si>
  <si>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</si>
  <si>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</si>
  <si>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</si>
  <si>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</si>
  <si>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</si>
  <si>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</si>
  <si>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</si>
  <si>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</si>
  <si>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</si>
  <si>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</si>
  <si>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</si>
  <si>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</si>
  <si>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</si>
  <si>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</si>
  <si>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</si>
  <si>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</si>
  <si>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</si>
  <si>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</si>
  <si>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</si>
  <si>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</si>
  <si>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</si>
  <si>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</si>
  <si>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</si>
  <si>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</si>
  <si>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</si>
  <si>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</si>
  <si>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</si>
  <si>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</si>
  <si>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</si>
  <si>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</si>
  <si>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</si>
  <si>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</si>
  <si>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</si>
  <si>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</si>
  <si>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</si>
  <si>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</si>
  <si>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</si>
  <si>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</si>
  <si>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</si>
  <si>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</si>
  <si>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</si>
  <si>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</si>
  <si>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</si>
  <si>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</si>
  <si>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</si>
  <si>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</si>
  <si>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</si>
  <si>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</si>
  <si>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</si>
  <si>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</si>
  <si>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</si>
  <si>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</si>
  <si>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</si>
  <si>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</si>
  <si>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</si>
  <si>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</si>
  <si>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</si>
  <si>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</si>
  <si>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</si>
  <si>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</si>
  <si>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</si>
  <si>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</si>
  <si>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</si>
  <si>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</si>
  <si>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</si>
  <si>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</si>
  <si>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</si>
  <si>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</si>
  <si>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</si>
  <si>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</si>
  <si>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</si>
  <si>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</si>
  <si>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</si>
  <si>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</si>
  <si>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</si>
  <si>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</si>
  <si>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</si>
  <si>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</si>
  <si>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</si>
  <si>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</si>
  <si>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</si>
  <si>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</si>
  <si>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</si>
  <si>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</si>
  <si>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</si>
  <si>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</si>
  <si>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</si>
  <si>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</si>
  <si>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</si>
  <si>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</si>
  <si>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</si>
  <si>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</si>
  <si>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</si>
  <si>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</si>
  <si>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</si>
  <si>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</si>
  <si>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</si>
  <si>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</si>
  <si>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</si>
  <si>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</si>
  <si>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</si>
  <si>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</si>
  <si>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</si>
  <si>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</si>
  <si>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</si>
  <si>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</si>
  <si>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</si>
  <si>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</si>
  <si>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</si>
  <si>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</si>
  <si>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</si>
  <si>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</si>
  <si>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</si>
  <si>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</si>
  <si>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</si>
  <si>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</si>
  <si>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</si>
  <si>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</si>
  <si>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</si>
  <si>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</si>
  <si>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</si>
  <si>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</si>
  <si>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</si>
  <si>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</si>
  <si>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</si>
  <si>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</si>
  <si>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</si>
  <si>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</si>
  <si>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</si>
  <si>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</si>
  <si>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</si>
  <si>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</si>
  <si>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</si>
  <si>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</si>
  <si>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</si>
  <si>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</si>
  <si>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</si>
  <si>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</si>
  <si>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</si>
  <si>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</si>
  <si>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</si>
  <si>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</si>
  <si>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</si>
  <si>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</si>
  <si>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</si>
  <si>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</si>
  <si>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</si>
  <si>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</si>
  <si>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</si>
  <si>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</si>
  <si>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</si>
  <si>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</si>
  <si>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</si>
  <si>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</si>
  <si>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</si>
  <si>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</si>
  <si>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</si>
  <si>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</si>
  <si>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</si>
  <si>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</si>
  <si>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</si>
  <si>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</si>
  <si>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</si>
  <si>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</si>
  <si>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</si>
  <si>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</si>
  <si>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</si>
  <si>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</si>
  <si>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</si>
  <si>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</si>
  <si>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</si>
  <si>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</si>
  <si>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</si>
  <si>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</si>
  <si>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</si>
  <si>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</si>
  <si>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</si>
  <si>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</si>
  <si>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</si>
  <si>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</si>
  <si>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</si>
  <si>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</si>
  <si>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</si>
  <si>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</si>
  <si>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</si>
  <si>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</si>
  <si>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</si>
  <si>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</si>
  <si>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</si>
  <si>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</si>
  <si>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</si>
  <si>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</si>
  <si>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</si>
  <si>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</si>
  <si>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</si>
  <si>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</si>
  <si>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</si>
  <si>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</si>
  <si>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</si>
  <si>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</si>
  <si>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</si>
  <si>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</si>
  <si>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</si>
  <si>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</si>
  <si>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</si>
  <si>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</si>
  <si>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</si>
  <si>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</si>
  <si>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</si>
  <si>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</si>
  <si>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</si>
  <si>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</si>
  <si>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</si>
  <si>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</si>
  <si>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</si>
  <si>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</si>
  <si>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</si>
  <si>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</si>
  <si>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</si>
  <si>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</si>
  <si>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</si>
  <si>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</si>
  <si>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</si>
  <si>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</si>
  <si>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</si>
  <si>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</si>
  <si>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</si>
  <si>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</si>
  <si>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</si>
  <si>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</si>
  <si>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</si>
  <si>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</si>
  <si>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</si>
  <si>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</si>
  <si>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</si>
  <si>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</si>
  <si>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</si>
  <si>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</si>
  <si>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</si>
  <si>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</si>
  <si>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</si>
  <si>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</si>
  <si>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</si>
  <si>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</si>
  <si>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</si>
  <si>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</si>
  <si>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</si>
  <si>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</si>
  <si>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</si>
  <si>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</si>
  <si>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</si>
  <si>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</si>
  <si>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</si>
  <si>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</si>
  <si>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</si>
  <si>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</si>
  <si>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</si>
  <si>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</si>
  <si>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</si>
  <si>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</si>
  <si>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</si>
  <si>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</si>
  <si>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</si>
  <si>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</si>
  <si>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</si>
  <si>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</si>
  <si>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</si>
  <si>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</si>
  <si>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</si>
  <si>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</si>
  <si>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</si>
  <si>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</si>
  <si>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</si>
  <si>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</si>
  <si>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</si>
  <si>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</si>
  <si>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</si>
  <si>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</si>
  <si>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</si>
  <si>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</si>
  <si>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</si>
  <si>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</si>
  <si>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</si>
  <si>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</si>
  <si>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</si>
  <si>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</si>
  <si>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</si>
  <si>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</si>
  <si>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</si>
  <si>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</si>
  <si>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</si>
  <si>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</si>
  <si>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</si>
  <si>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</si>
  <si>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</si>
  <si>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</si>
  <si>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</si>
  <si>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</si>
  <si>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</si>
  <si>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</si>
  <si>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</si>
  <si>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</si>
  <si>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</si>
  <si>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</si>
  <si>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</si>
  <si>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</si>
  <si>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</si>
  <si>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</si>
  <si>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</si>
  <si>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</si>
  <si>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</si>
  <si>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</si>
  <si>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</si>
  <si>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</si>
  <si>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</si>
  <si>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</si>
  <si>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</si>
  <si>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</si>
  <si>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</si>
  <si>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</si>
  <si>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</si>
  <si>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</si>
  <si>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BS22123S available in cpfOA</t>
  </si>
  <si>
    <t>cpf deduction … Try to make it happen 31 May</t>
  </si>
  <si>
    <t>MrFix</t>
  </si>
  <si>
    <t>EGA int#89x later</t>
  </si>
  <si>
    <t>MCS&gt;MB ccard</t>
  </si>
  <si>
    <t>shopee misc</t>
  </si>
  <si>
    <t>ikea cafe#MB</t>
  </si>
  <si>
    <t>HSBC cashback</t>
  </si>
  <si>
    <t>polyclinic24Apr</t>
  </si>
  <si>
    <t>BocTD int</t>
  </si>
  <si>
    <t>Urohealth 21Apr</t>
  </si>
  <si>
    <t>CGC@HPB #HSBC20Apr</t>
  </si>
  <si>
    <t>RMG#HSBC25Apr</t>
  </si>
  <si>
    <t>Laz adjustable ring#OC</t>
  </si>
  <si>
    <t>capped</t>
  </si>
  <si>
    <t>cardSpend</t>
  </si>
  <si>
    <t>EGA&gt;108</t>
  </si>
  <si>
    <t>EGA4.45ppa</t>
  </si>
  <si>
    <t>early morning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</si>
  <si>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</si>
  <si>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</si>
  <si>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</si>
  <si>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</si>
  <si>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</si>
  <si>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</si>
  <si>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</si>
  <si>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</si>
  <si>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</si>
  <si>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ADB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</si>
</sst>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39" fontId="88" fillId="0" borderId="0" xfId="0" applyNumberFormat="1" applyFont="1" applyFill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>
      <selection activeCell="D34" sqref="D34:E34"/>
    </sheetView>
  </sheetViews>
  <sheetFormatPr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846" bestFit="1" customWidth="1"/>
    <col min="5" max="5" width="6.28515625" style="582" bestFit="1" customWidth="1"/>
    <col min="6" max="6" width="9.140625" style="582"/>
    <col min="7" max="7" width="9.7109375" style="582" bestFit="1" customWidth="1"/>
    <col min="8" max="8" width="12" style="582" bestFit="1" customWidth="1"/>
    <col min="9" max="9" width="9.85546875" style="582" bestFit="1" customWidth="1"/>
    <col min="10" max="16384" width="9.140625" style="582"/>
  </cols>
  <sheetData>
    <row r="2" spans="2:5" x14ac:dyDescent="0.2">
      <c r="B2" s="746" t="s">
        <v>2825</v>
      </c>
      <c r="C2" s="746"/>
      <c r="D2" s="853" t="s">
        <v>2837</v>
      </c>
    </row>
    <row r="3" spans="2:5" x14ac:dyDescent="0.2">
      <c r="B3" s="357"/>
    </row>
    <row r="4" spans="2:5" x14ac:dyDescent="0.2">
      <c r="B4" s="582">
        <v>100000</v>
      </c>
      <c r="C4" s="847">
        <v>45017</v>
      </c>
      <c r="D4" s="848">
        <v>112230.08</v>
      </c>
      <c r="E4" s="849">
        <v>4.0000000000000001E-3</v>
      </c>
    </row>
    <row r="5" spans="2:5" x14ac:dyDescent="0.2">
      <c r="B5" s="582">
        <v>100000</v>
      </c>
      <c r="C5" s="847">
        <v>45018</v>
      </c>
      <c r="D5" s="848">
        <v>112230.08</v>
      </c>
      <c r="E5" s="849">
        <v>4.0000000000000001E-3</v>
      </c>
    </row>
    <row r="6" spans="2:5" x14ac:dyDescent="0.2">
      <c r="B6" s="582">
        <v>100000</v>
      </c>
      <c r="C6" s="847">
        <v>45019</v>
      </c>
      <c r="D6" s="850">
        <v>110275.28</v>
      </c>
      <c r="E6" s="849">
        <v>4.0000000000000001E-3</v>
      </c>
    </row>
    <row r="7" spans="2:5" x14ac:dyDescent="0.2">
      <c r="B7" s="582">
        <v>100000</v>
      </c>
      <c r="C7" s="847">
        <v>45020</v>
      </c>
      <c r="D7" s="850">
        <v>110275.29</v>
      </c>
      <c r="E7" s="849">
        <v>4.0000000000000001E-3</v>
      </c>
    </row>
    <row r="8" spans="2:5" x14ac:dyDescent="0.2">
      <c r="B8" s="582">
        <v>100000</v>
      </c>
      <c r="C8" s="847">
        <v>45021</v>
      </c>
      <c r="D8" s="850">
        <v>110275.3</v>
      </c>
      <c r="E8" s="849">
        <v>4.0000000000000001E-3</v>
      </c>
    </row>
    <row r="9" spans="2:5" x14ac:dyDescent="0.2">
      <c r="B9" s="582">
        <v>100000</v>
      </c>
      <c r="C9" s="847">
        <v>45022</v>
      </c>
      <c r="D9" s="850">
        <v>110275.31</v>
      </c>
      <c r="E9" s="849">
        <v>4.0000000000000001E-3</v>
      </c>
    </row>
    <row r="10" spans="2:5" x14ac:dyDescent="0.2">
      <c r="B10" s="582">
        <v>100000</v>
      </c>
      <c r="C10" s="847">
        <v>45023</v>
      </c>
      <c r="D10" s="850">
        <v>110275.32</v>
      </c>
      <c r="E10" s="849">
        <v>4.0000000000000001E-3</v>
      </c>
    </row>
    <row r="11" spans="2:5" x14ac:dyDescent="0.2">
      <c r="B11" s="582">
        <v>100000</v>
      </c>
      <c r="C11" s="847">
        <v>45024</v>
      </c>
      <c r="D11" s="850">
        <v>110275.33</v>
      </c>
      <c r="E11" s="849">
        <v>4.0000000000000001E-3</v>
      </c>
    </row>
    <row r="12" spans="2:5" x14ac:dyDescent="0.2">
      <c r="B12" s="582">
        <v>100000</v>
      </c>
      <c r="C12" s="847">
        <v>45025</v>
      </c>
      <c r="D12" s="850">
        <v>110275.34</v>
      </c>
      <c r="E12" s="849">
        <v>4.0000000000000001E-3</v>
      </c>
    </row>
    <row r="13" spans="2:5" x14ac:dyDescent="0.2">
      <c r="B13" s="582">
        <v>100000</v>
      </c>
      <c r="C13" s="847">
        <v>45026</v>
      </c>
      <c r="D13" s="850">
        <v>110000</v>
      </c>
      <c r="E13" s="849">
        <v>4.0000000000000001E-3</v>
      </c>
    </row>
    <row r="14" spans="2:5" x14ac:dyDescent="0.2">
      <c r="B14" s="582">
        <v>100000</v>
      </c>
      <c r="C14" s="847">
        <v>45027</v>
      </c>
      <c r="D14" s="851">
        <v>100000</v>
      </c>
      <c r="E14" s="849">
        <v>4.0000000000000001E-3</v>
      </c>
    </row>
    <row r="15" spans="2:5" x14ac:dyDescent="0.2">
      <c r="B15" s="582">
        <v>100000</v>
      </c>
      <c r="C15" s="847">
        <v>45028</v>
      </c>
      <c r="D15" s="851">
        <v>100000</v>
      </c>
      <c r="E15" s="849">
        <v>4.0000000000000001E-3</v>
      </c>
    </row>
    <row r="16" spans="2:5" x14ac:dyDescent="0.2">
      <c r="B16" s="582">
        <v>100000</v>
      </c>
      <c r="C16" s="847">
        <v>45029</v>
      </c>
      <c r="D16" s="851">
        <v>100000</v>
      </c>
      <c r="E16" s="849">
        <v>4.0000000000000001E-3</v>
      </c>
    </row>
    <row r="17" spans="2:10" x14ac:dyDescent="0.2">
      <c r="B17" s="582">
        <v>100000</v>
      </c>
      <c r="C17" s="847">
        <v>45030</v>
      </c>
      <c r="D17" s="851">
        <v>100000</v>
      </c>
      <c r="E17" s="849">
        <v>4.0000000000000001E-3</v>
      </c>
    </row>
    <row r="18" spans="2:10" x14ac:dyDescent="0.2">
      <c r="B18" s="852">
        <f t="shared" ref="B18:B33" si="0">D18</f>
        <v>99936</v>
      </c>
      <c r="C18" s="847">
        <v>45031</v>
      </c>
      <c r="D18" s="850">
        <v>99936</v>
      </c>
      <c r="E18" s="849">
        <v>3.0000000000000001E-3</v>
      </c>
    </row>
    <row r="19" spans="2:10" x14ac:dyDescent="0.2">
      <c r="B19" s="852">
        <f t="shared" si="0"/>
        <v>99936.01</v>
      </c>
      <c r="C19" s="847">
        <v>45032</v>
      </c>
      <c r="D19" s="850">
        <v>99936.01</v>
      </c>
      <c r="E19" s="849">
        <v>3.0000000000000001E-3</v>
      </c>
    </row>
    <row r="20" spans="2:10" x14ac:dyDescent="0.2">
      <c r="B20" s="852">
        <f t="shared" si="0"/>
        <v>99917.1</v>
      </c>
      <c r="C20" s="847">
        <v>45033</v>
      </c>
      <c r="D20" s="850">
        <v>99917.1</v>
      </c>
      <c r="E20" s="849">
        <v>3.0000000000000001E-3</v>
      </c>
    </row>
    <row r="21" spans="2:10" x14ac:dyDescent="0.2">
      <c r="B21" s="852">
        <f t="shared" si="0"/>
        <v>99913.04</v>
      </c>
      <c r="C21" s="847">
        <v>45034</v>
      </c>
      <c r="D21" s="850">
        <v>99913.04</v>
      </c>
      <c r="E21" s="849">
        <v>3.0000000000000001E-3</v>
      </c>
    </row>
    <row r="22" spans="2:10" x14ac:dyDescent="0.2">
      <c r="B22" s="852">
        <f t="shared" si="0"/>
        <v>99913.05</v>
      </c>
      <c r="C22" s="847">
        <v>45035</v>
      </c>
      <c r="D22" s="850">
        <v>99913.05</v>
      </c>
      <c r="E22" s="849">
        <v>3.0000000000000001E-3</v>
      </c>
    </row>
    <row r="23" spans="2:10" x14ac:dyDescent="0.2">
      <c r="B23" s="852">
        <f t="shared" si="0"/>
        <v>99836.1</v>
      </c>
      <c r="C23" s="847">
        <v>45036</v>
      </c>
      <c r="D23" s="850">
        <v>99836.1</v>
      </c>
      <c r="E23" s="849">
        <v>3.0000000000000001E-3</v>
      </c>
    </row>
    <row r="24" spans="2:10" x14ac:dyDescent="0.2">
      <c r="B24" s="852">
        <f t="shared" si="0"/>
        <v>99833.2</v>
      </c>
      <c r="C24" s="847">
        <v>45037</v>
      </c>
      <c r="D24" s="850">
        <v>99833.2</v>
      </c>
      <c r="E24" s="849">
        <v>3.0000000000000001E-3</v>
      </c>
    </row>
    <row r="25" spans="2:10" x14ac:dyDescent="0.2">
      <c r="B25" s="852">
        <f t="shared" si="0"/>
        <v>99833.21</v>
      </c>
      <c r="C25" s="847">
        <v>45038</v>
      </c>
      <c r="D25" s="850">
        <v>99833.21</v>
      </c>
      <c r="E25" s="849">
        <v>3.0000000000000001E-3</v>
      </c>
    </row>
    <row r="26" spans="2:10" x14ac:dyDescent="0.2">
      <c r="B26" s="852">
        <f t="shared" si="0"/>
        <v>99833.22</v>
      </c>
      <c r="C26" s="847">
        <v>45039</v>
      </c>
      <c r="D26" s="850">
        <v>99833.22</v>
      </c>
      <c r="E26" s="849">
        <v>3.0000000000000001E-3</v>
      </c>
    </row>
    <row r="27" spans="2:10" x14ac:dyDescent="0.2">
      <c r="B27" s="852">
        <f t="shared" si="0"/>
        <v>99833.23</v>
      </c>
      <c r="C27" s="847">
        <v>45040</v>
      </c>
      <c r="D27" s="850">
        <v>99833.23</v>
      </c>
      <c r="E27" s="849">
        <v>3.0000000000000001E-3</v>
      </c>
    </row>
    <row r="28" spans="2:10" x14ac:dyDescent="0.2">
      <c r="B28" s="852">
        <f t="shared" si="0"/>
        <v>99833.24</v>
      </c>
      <c r="C28" s="847">
        <v>45041</v>
      </c>
      <c r="D28" s="850">
        <v>99833.24</v>
      </c>
      <c r="E28" s="849">
        <v>3.0000000000000001E-3</v>
      </c>
      <c r="G28" s="582" t="s">
        <v>2698</v>
      </c>
      <c r="H28" s="582" t="s">
        <v>2699</v>
      </c>
      <c r="I28" s="582" t="s">
        <v>2826</v>
      </c>
      <c r="J28" s="582" t="s">
        <v>2700</v>
      </c>
    </row>
    <row r="29" spans="2:10" x14ac:dyDescent="0.2">
      <c r="B29" s="852">
        <f t="shared" si="0"/>
        <v>825.53</v>
      </c>
      <c r="C29" s="847">
        <v>45042</v>
      </c>
      <c r="D29" s="850">
        <v>825.53</v>
      </c>
      <c r="E29" s="849">
        <v>1.5E-3</v>
      </c>
      <c r="G29" s="849">
        <v>2.5000000000000001E-2</v>
      </c>
      <c r="H29" s="849">
        <v>8.9999999999999993E-3</v>
      </c>
      <c r="I29" s="849">
        <v>8.0000000000000002E-3</v>
      </c>
      <c r="J29" s="849"/>
    </row>
    <row r="30" spans="2:10" x14ac:dyDescent="0.2">
      <c r="B30" s="852">
        <f t="shared" si="0"/>
        <v>8096.84</v>
      </c>
      <c r="C30" s="847">
        <v>45043</v>
      </c>
      <c r="D30" s="850">
        <v>8096.84</v>
      </c>
      <c r="E30" s="849">
        <v>2E-3</v>
      </c>
      <c r="G30" s="852">
        <f>$B$34</f>
        <v>84372.148000000016</v>
      </c>
      <c r="H30" s="852">
        <f>$B$34</f>
        <v>84372.148000000016</v>
      </c>
      <c r="I30" s="852">
        <f>$B$34</f>
        <v>84372.148000000016</v>
      </c>
    </row>
    <row r="31" spans="2:10" x14ac:dyDescent="0.2">
      <c r="B31" s="852">
        <f t="shared" si="0"/>
        <v>7868.23</v>
      </c>
      <c r="C31" s="847">
        <v>45044</v>
      </c>
      <c r="D31" s="850">
        <v>7868.23</v>
      </c>
      <c r="E31" s="849">
        <v>2E-3</v>
      </c>
      <c r="G31" s="582" t="s">
        <v>2763</v>
      </c>
      <c r="H31" s="582" t="s">
        <v>2763</v>
      </c>
      <c r="I31" s="582" t="s">
        <v>2763</v>
      </c>
      <c r="J31" s="582" t="s">
        <v>2763</v>
      </c>
    </row>
    <row r="32" spans="2:10" x14ac:dyDescent="0.2">
      <c r="B32" s="852">
        <f t="shared" si="0"/>
        <v>7865.66</v>
      </c>
      <c r="C32" s="847">
        <v>45045</v>
      </c>
      <c r="D32" s="850">
        <v>7865.66</v>
      </c>
      <c r="E32" s="849">
        <v>2E-3</v>
      </c>
      <c r="G32" s="582">
        <f>G29*G30/365*31</f>
        <v>179.14634164383565</v>
      </c>
      <c r="H32" s="582">
        <f t="shared" ref="H32:I32" si="1">H29*H30/365*31</f>
        <v>64.492682991780825</v>
      </c>
      <c r="I32" s="582">
        <f t="shared" si="1"/>
        <v>57.326829326027415</v>
      </c>
      <c r="J32" s="852">
        <f>D34</f>
        <v>25.715295438356168</v>
      </c>
    </row>
    <row r="33" spans="2:5" x14ac:dyDescent="0.2">
      <c r="B33" s="852">
        <f t="shared" si="0"/>
        <v>7890.78</v>
      </c>
      <c r="C33" s="847">
        <v>45046</v>
      </c>
      <c r="D33" s="850">
        <v>7890.78</v>
      </c>
      <c r="E33" s="849">
        <v>2E-3</v>
      </c>
    </row>
    <row r="34" spans="2:5" x14ac:dyDescent="0.2">
      <c r="B34" s="852">
        <f>AVERAGE(B4:B33)</f>
        <v>84372.148000000016</v>
      </c>
      <c r="D34" s="854">
        <f>SUMPRODUCT(D4:D33,E4:E33)/365</f>
        <v>25.715295438356168</v>
      </c>
      <c r="E34" s="854"/>
    </row>
    <row r="35" spans="2:5" x14ac:dyDescent="0.2">
      <c r="B35" s="746" t="s">
        <v>2839</v>
      </c>
      <c r="D35" s="854" t="s">
        <v>2838</v>
      </c>
      <c r="E35" s="854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1" bestFit="1" customWidth="1"/>
    <col min="6" max="6" width="5.5703125" style="711" bestFit="1" customWidth="1"/>
    <col min="7" max="8" width="9.7109375" bestFit="1" customWidth="1"/>
    <col min="9" max="9" width="21.140625" bestFit="1" customWidth="1"/>
  </cols>
  <sheetData>
    <row r="2" spans="2:9" s="681" customFormat="1" ht="25.5" x14ac:dyDescent="0.2">
      <c r="B2" s="683" t="s">
        <v>2730</v>
      </c>
      <c r="C2" s="683" t="s">
        <v>311</v>
      </c>
      <c r="D2" s="684" t="s">
        <v>2734</v>
      </c>
      <c r="E2" s="685" t="s">
        <v>2731</v>
      </c>
      <c r="F2" s="685" t="s">
        <v>2765</v>
      </c>
      <c r="G2" s="685" t="s">
        <v>2732</v>
      </c>
      <c r="H2" s="683" t="s">
        <v>460</v>
      </c>
      <c r="I2" s="682" t="s">
        <v>2729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3" t="s">
        <v>2764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4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5" t="s">
        <v>2764</v>
      </c>
      <c r="G5" s="227">
        <f>SUM(B5:E5)</f>
        <v>112574</v>
      </c>
      <c r="H5" s="81">
        <v>43891</v>
      </c>
      <c r="I5" s="63"/>
    </row>
    <row r="6" spans="2:9" s="681" customFormat="1" x14ac:dyDescent="0.2">
      <c r="B6" s="227"/>
      <c r="C6" s="227"/>
      <c r="D6" s="227"/>
      <c r="E6" s="227"/>
      <c r="F6" s="714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5" t="s">
        <v>2764</v>
      </c>
      <c r="G7" s="227">
        <f>SUM(B7:E7)</f>
        <v>112225.48</v>
      </c>
      <c r="H7" s="81">
        <v>44195</v>
      </c>
      <c r="I7" s="63" t="s">
        <v>2735</v>
      </c>
    </row>
    <row r="8" spans="2:9" x14ac:dyDescent="0.2">
      <c r="B8" s="227"/>
      <c r="C8" s="227"/>
      <c r="D8" s="227"/>
      <c r="E8" s="227"/>
      <c r="F8" s="714"/>
      <c r="G8" s="227"/>
      <c r="H8" s="63"/>
      <c r="I8" s="63"/>
    </row>
    <row r="9" spans="2:9" ht="14.25" x14ac:dyDescent="0.2">
      <c r="B9" s="227">
        <f>$B$7</f>
        <v>13108.48</v>
      </c>
      <c r="C9" s="686">
        <v>5000</v>
      </c>
      <c r="D9" s="227">
        <v>84000</v>
      </c>
      <c r="E9" s="227">
        <v>8848</v>
      </c>
      <c r="F9" s="715" t="s">
        <v>2764</v>
      </c>
      <c r="G9" s="686">
        <f>SUM(B9:E9)</f>
        <v>110956.48</v>
      </c>
      <c r="H9" s="81">
        <v>44548</v>
      </c>
      <c r="I9" s="63"/>
    </row>
    <row r="10" spans="2:9" s="681" customFormat="1" x14ac:dyDescent="0.2">
      <c r="B10" s="227"/>
      <c r="C10" s="227" t="s">
        <v>2736</v>
      </c>
      <c r="D10" s="227"/>
      <c r="E10" s="227"/>
      <c r="F10" s="714"/>
      <c r="G10" s="227" t="s">
        <v>2737</v>
      </c>
      <c r="H10" s="81"/>
      <c r="I10" s="63"/>
    </row>
    <row r="11" spans="2:9" s="681" customFormat="1" x14ac:dyDescent="0.2">
      <c r="B11" s="227"/>
      <c r="C11" s="227"/>
      <c r="D11" s="227"/>
      <c r="E11" s="227"/>
      <c r="F11" s="714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5" t="s">
        <v>2764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5" t="s">
        <v>2764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5" t="s">
        <v>2764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5" t="s">
        <v>2764</v>
      </c>
      <c r="G15" s="227">
        <f t="shared" si="1"/>
        <v>108175.48</v>
      </c>
      <c r="H15" s="81">
        <v>44701</v>
      </c>
      <c r="I15" s="63" t="s">
        <v>2740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5" t="s">
        <v>2764</v>
      </c>
      <c r="G16" s="227">
        <f t="shared" si="1"/>
        <v>109985.48</v>
      </c>
      <c r="H16" s="81">
        <v>44728</v>
      </c>
      <c r="I16" s="63" t="s">
        <v>2741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5" t="s">
        <v>2764</v>
      </c>
      <c r="G17" s="227">
        <f t="shared" si="1"/>
        <v>105859.48</v>
      </c>
      <c r="H17" s="81">
        <v>44788</v>
      </c>
      <c r="I17" s="63" t="s">
        <v>2733</v>
      </c>
    </row>
    <row r="18" spans="2:9" s="681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5" t="s">
        <v>2764</v>
      </c>
      <c r="G18" s="227">
        <f t="shared" ref="G18:G19" si="2">SUM(B18:E18)</f>
        <v>102207.48</v>
      </c>
      <c r="H18" s="81">
        <v>44851</v>
      </c>
      <c r="I18" s="63"/>
    </row>
    <row r="19" spans="2:9" s="681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5" t="s">
        <v>2764</v>
      </c>
      <c r="G19" s="227">
        <f t="shared" si="2"/>
        <v>100303.48</v>
      </c>
      <c r="H19" s="81">
        <v>44880</v>
      </c>
      <c r="I19" s="63"/>
    </row>
    <row r="20" spans="2:9" s="681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5" t="s">
        <v>2764</v>
      </c>
      <c r="G20" s="227">
        <f>SUM(B20:E20)</f>
        <v>98359.48</v>
      </c>
      <c r="H20" s="81">
        <v>44910</v>
      </c>
      <c r="I20" s="63" t="s">
        <v>2733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5" t="s">
        <v>2764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31" t="s">
        <v>1897</v>
      </c>
      <c r="D3" s="831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32" t="s">
        <v>2080</v>
      </c>
      <c r="C2" s="832"/>
      <c r="D2" s="833" t="s">
        <v>1875</v>
      </c>
      <c r="E2" s="833"/>
      <c r="F2" s="471"/>
      <c r="G2" s="471"/>
      <c r="H2" s="378"/>
      <c r="I2" s="836" t="s">
        <v>2257</v>
      </c>
      <c r="J2" s="837"/>
      <c r="K2" s="837"/>
      <c r="L2" s="837"/>
      <c r="M2" s="837"/>
      <c r="N2" s="837"/>
      <c r="O2" s="838"/>
      <c r="P2" s="438"/>
      <c r="Q2" s="839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44" t="s">
        <v>2283</v>
      </c>
      <c r="G3" s="845"/>
      <c r="H3" s="378"/>
      <c r="I3" s="433"/>
      <c r="J3" s="472"/>
      <c r="K3" s="841" t="s">
        <v>2425</v>
      </c>
      <c r="L3" s="842"/>
      <c r="M3" s="843"/>
      <c r="N3" s="476"/>
      <c r="O3" s="430"/>
      <c r="P3" s="470"/>
      <c r="Q3" s="840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3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3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3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35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57" t="s">
        <v>124</v>
      </c>
      <c r="C1" s="757"/>
      <c r="D1" s="760" t="s">
        <v>292</v>
      </c>
      <c r="E1" s="760"/>
      <c r="F1" s="760" t="s">
        <v>341</v>
      </c>
      <c r="G1" s="760"/>
      <c r="H1" s="758" t="s">
        <v>127</v>
      </c>
      <c r="I1" s="758"/>
      <c r="J1" s="754" t="s">
        <v>292</v>
      </c>
      <c r="K1" s="754"/>
      <c r="L1" s="759" t="s">
        <v>520</v>
      </c>
      <c r="M1" s="759"/>
      <c r="N1" s="758" t="s">
        <v>146</v>
      </c>
      <c r="O1" s="758"/>
      <c r="P1" s="754" t="s">
        <v>293</v>
      </c>
      <c r="Q1" s="754"/>
      <c r="R1" s="759" t="s">
        <v>522</v>
      </c>
      <c r="S1" s="759"/>
      <c r="T1" s="748" t="s">
        <v>193</v>
      </c>
      <c r="U1" s="748"/>
      <c r="V1" s="754" t="s">
        <v>292</v>
      </c>
      <c r="W1" s="754"/>
      <c r="X1" s="753" t="s">
        <v>524</v>
      </c>
      <c r="Y1" s="753"/>
      <c r="Z1" s="748" t="s">
        <v>241</v>
      </c>
      <c r="AA1" s="748"/>
      <c r="AB1" s="755" t="s">
        <v>292</v>
      </c>
      <c r="AC1" s="755"/>
      <c r="AD1" s="756" t="s">
        <v>524</v>
      </c>
      <c r="AE1" s="756"/>
      <c r="AF1" s="748" t="s">
        <v>367</v>
      </c>
      <c r="AG1" s="748"/>
      <c r="AH1" s="755" t="s">
        <v>292</v>
      </c>
      <c r="AI1" s="755"/>
      <c r="AJ1" s="753" t="s">
        <v>530</v>
      </c>
      <c r="AK1" s="753"/>
      <c r="AL1" s="748" t="s">
        <v>389</v>
      </c>
      <c r="AM1" s="748"/>
      <c r="AN1" s="765" t="s">
        <v>292</v>
      </c>
      <c r="AO1" s="765"/>
      <c r="AP1" s="763" t="s">
        <v>531</v>
      </c>
      <c r="AQ1" s="763"/>
      <c r="AR1" s="748" t="s">
        <v>416</v>
      </c>
      <c r="AS1" s="748"/>
      <c r="AV1" s="763" t="s">
        <v>285</v>
      </c>
      <c r="AW1" s="763"/>
      <c r="AX1" s="766" t="s">
        <v>998</v>
      </c>
      <c r="AY1" s="766"/>
      <c r="AZ1" s="766"/>
      <c r="BA1" s="208"/>
      <c r="BB1" s="761">
        <v>42942</v>
      </c>
      <c r="BC1" s="762"/>
      <c r="BD1" s="76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7" t="s">
        <v>261</v>
      </c>
      <c r="U4" s="747"/>
      <c r="X4" s="119" t="s">
        <v>233</v>
      </c>
      <c r="Y4" s="123">
        <f>Y3-Y6</f>
        <v>4.9669099999591708</v>
      </c>
      <c r="Z4" s="747" t="s">
        <v>262</v>
      </c>
      <c r="AA4" s="747"/>
      <c r="AD4" s="154" t="s">
        <v>233</v>
      </c>
      <c r="AE4" s="154">
        <f>AE3-AE5</f>
        <v>-52.526899999851594</v>
      </c>
      <c r="AF4" s="747" t="s">
        <v>262</v>
      </c>
      <c r="AG4" s="747"/>
      <c r="AH4" s="143"/>
      <c r="AI4" s="143"/>
      <c r="AJ4" s="154" t="s">
        <v>233</v>
      </c>
      <c r="AK4" s="154">
        <f>AK3-AK5</f>
        <v>94.988909999992757</v>
      </c>
      <c r="AL4" s="747" t="s">
        <v>262</v>
      </c>
      <c r="AM4" s="747"/>
      <c r="AP4" s="170" t="s">
        <v>233</v>
      </c>
      <c r="AQ4" s="174">
        <f>AQ3-AQ5</f>
        <v>33.841989999942598</v>
      </c>
      <c r="AR4" s="747" t="s">
        <v>262</v>
      </c>
      <c r="AS4" s="747"/>
      <c r="AX4" s="747" t="s">
        <v>564</v>
      </c>
      <c r="AY4" s="747"/>
      <c r="BB4" s="747" t="s">
        <v>567</v>
      </c>
      <c r="BC4" s="74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7"/>
      <c r="U5" s="747"/>
      <c r="V5" s="3" t="s">
        <v>258</v>
      </c>
      <c r="W5">
        <v>2050</v>
      </c>
      <c r="X5" s="82"/>
      <c r="Z5" s="747"/>
      <c r="AA5" s="74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7"/>
      <c r="AG5" s="747"/>
      <c r="AH5" s="143"/>
      <c r="AI5" s="143"/>
      <c r="AJ5" s="154" t="s">
        <v>352</v>
      </c>
      <c r="AK5" s="162">
        <f>SUM(AK11:AK59)</f>
        <v>30858.011000000002</v>
      </c>
      <c r="AL5" s="747"/>
      <c r="AM5" s="74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7"/>
      <c r="AS5" s="747"/>
      <c r="AX5" s="747"/>
      <c r="AY5" s="747"/>
      <c r="BB5" s="747"/>
      <c r="BC5" s="747"/>
      <c r="BD5" s="764" t="s">
        <v>999</v>
      </c>
      <c r="BE5" s="764"/>
      <c r="BF5" s="764"/>
      <c r="BG5" s="764"/>
      <c r="BH5" s="764"/>
      <c r="BI5" s="764"/>
      <c r="BJ5" s="764"/>
      <c r="BK5" s="76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9" t="s">
        <v>264</v>
      </c>
      <c r="W23" s="75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1"/>
      <c r="W24" s="75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2577</v>
      </c>
      <c r="E3" s="256"/>
      <c r="F3" s="256"/>
      <c r="G3" s="767" t="s">
        <v>2675</v>
      </c>
      <c r="H3" s="768"/>
      <c r="I3" s="593"/>
      <c r="J3" s="767" t="s">
        <v>2676</v>
      </c>
      <c r="K3" s="768"/>
      <c r="L3" s="299"/>
      <c r="M3" s="767">
        <v>43739</v>
      </c>
      <c r="N3" s="768"/>
      <c r="O3" s="767">
        <v>42401</v>
      </c>
      <c r="P3" s="768"/>
    </row>
    <row r="4" spans="2:16" x14ac:dyDescent="0.2">
      <c r="B4" s="63" t="s">
        <v>322</v>
      </c>
      <c r="C4" s="71" t="s">
        <v>2583</v>
      </c>
      <c r="D4" s="63" t="s">
        <v>1037</v>
      </c>
      <c r="E4" s="63" t="s">
        <v>309</v>
      </c>
      <c r="F4" s="63" t="s">
        <v>1183</v>
      </c>
      <c r="G4" s="597"/>
      <c r="H4" s="653">
        <f>K4</f>
        <v>20000</v>
      </c>
      <c r="I4" s="227"/>
      <c r="J4" s="597"/>
      <c r="K4" s="601">
        <f>N4</f>
        <v>20000</v>
      </c>
      <c r="L4" s="227"/>
      <c r="M4" s="597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2583</v>
      </c>
      <c r="D5" s="71" t="s">
        <v>1037</v>
      </c>
      <c r="E5" s="63" t="s">
        <v>2584</v>
      </c>
      <c r="F5" s="63" t="s">
        <v>1183</v>
      </c>
      <c r="G5" s="597"/>
      <c r="H5" s="227">
        <f>300*6</f>
        <v>1800</v>
      </c>
      <c r="I5" s="227"/>
      <c r="J5" s="597"/>
      <c r="K5" s="601">
        <f>N5</f>
        <v>1200</v>
      </c>
      <c r="L5" s="227"/>
      <c r="M5" s="597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2583</v>
      </c>
      <c r="D6" s="71" t="s">
        <v>1044</v>
      </c>
      <c r="E6" s="63" t="s">
        <v>2587</v>
      </c>
      <c r="F6" s="63" t="s">
        <v>1183</v>
      </c>
      <c r="G6" s="597" t="s">
        <v>2709</v>
      </c>
      <c r="H6" s="227">
        <v>32000</v>
      </c>
      <c r="I6" s="227"/>
      <c r="J6" s="597"/>
      <c r="K6" s="227">
        <v>0</v>
      </c>
      <c r="L6" s="227"/>
      <c r="M6" s="597"/>
      <c r="N6" s="227">
        <v>0</v>
      </c>
      <c r="O6" s="63"/>
      <c r="P6" s="63"/>
    </row>
    <row r="7" spans="2:16" s="590" customFormat="1" x14ac:dyDescent="0.2">
      <c r="B7" s="63" t="s">
        <v>315</v>
      </c>
      <c r="C7" s="71" t="s">
        <v>315</v>
      </c>
      <c r="D7" s="71" t="s">
        <v>1044</v>
      </c>
      <c r="E7" s="63" t="s">
        <v>2586</v>
      </c>
      <c r="F7" s="63" t="s">
        <v>1183</v>
      </c>
      <c r="G7" s="597"/>
      <c r="H7" s="227" t="s">
        <v>2708</v>
      </c>
      <c r="I7" s="227"/>
      <c r="J7" s="597"/>
      <c r="K7" s="227">
        <v>564</v>
      </c>
      <c r="L7" s="227"/>
      <c r="M7" s="597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2640</v>
      </c>
      <c r="F8" s="63" t="s">
        <v>1183</v>
      </c>
      <c r="G8" s="597"/>
      <c r="H8" s="227">
        <v>1500</v>
      </c>
      <c r="I8" s="227"/>
      <c r="J8" s="597"/>
      <c r="K8" s="227">
        <v>1642</v>
      </c>
      <c r="L8" s="227"/>
      <c r="M8" s="597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2588</v>
      </c>
      <c r="F9" s="63" t="s">
        <v>327</v>
      </c>
      <c r="G9" s="597"/>
      <c r="H9" s="227">
        <v>1500</v>
      </c>
      <c r="I9" s="227"/>
      <c r="J9" s="597"/>
      <c r="K9" s="227">
        <v>2031</v>
      </c>
      <c r="L9" s="227"/>
      <c r="M9" s="597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2589</v>
      </c>
      <c r="F10" s="63" t="s">
        <v>1183</v>
      </c>
      <c r="G10" s="597"/>
      <c r="H10" s="227">
        <f>14300+2000</f>
        <v>16300</v>
      </c>
      <c r="I10" s="227"/>
      <c r="J10" s="597"/>
      <c r="K10" s="227">
        <v>57781</v>
      </c>
      <c r="L10" s="227"/>
      <c r="M10" s="597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2568</v>
      </c>
      <c r="F11" s="63" t="s">
        <v>2572</v>
      </c>
      <c r="G11" s="597"/>
      <c r="H11" s="227" t="s">
        <v>2677</v>
      </c>
      <c r="I11" s="227"/>
      <c r="J11" s="597"/>
      <c r="K11" s="227">
        <v>-46000</v>
      </c>
      <c r="L11" s="227"/>
      <c r="M11" s="597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7"/>
      <c r="H12" s="227">
        <v>0</v>
      </c>
      <c r="I12" s="227"/>
      <c r="J12" s="597"/>
      <c r="K12" s="599">
        <f>N12</f>
        <v>20000</v>
      </c>
      <c r="L12" s="227"/>
      <c r="M12" s="597"/>
      <c r="N12" s="227">
        <v>20000</v>
      </c>
      <c r="O12" s="63"/>
      <c r="P12" s="63"/>
    </row>
    <row r="13" spans="2:16" s="632" customFormat="1" x14ac:dyDescent="0.2">
      <c r="B13" s="63" t="s">
        <v>315</v>
      </c>
      <c r="C13" s="71" t="s">
        <v>315</v>
      </c>
      <c r="D13" s="71" t="s">
        <v>1044</v>
      </c>
      <c r="E13" s="63" t="s">
        <v>2639</v>
      </c>
      <c r="F13" s="63" t="s">
        <v>1183</v>
      </c>
      <c r="G13" s="597"/>
      <c r="H13" s="227">
        <v>0</v>
      </c>
      <c r="I13" s="227"/>
      <c r="J13" s="597"/>
      <c r="K13" s="599"/>
      <c r="L13" s="227"/>
      <c r="M13" s="597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2674</v>
      </c>
      <c r="E14" s="63" t="s">
        <v>843</v>
      </c>
      <c r="F14" s="63" t="s">
        <v>1183</v>
      </c>
      <c r="G14" s="597"/>
      <c r="H14" s="653">
        <v>2500</v>
      </c>
      <c r="I14" s="227"/>
      <c r="J14" s="597"/>
      <c r="K14" s="601">
        <f>N14</f>
        <v>2500</v>
      </c>
      <c r="L14" s="227"/>
      <c r="M14" s="597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2674</v>
      </c>
      <c r="E15" s="63" t="s">
        <v>863</v>
      </c>
      <c r="F15" s="63" t="s">
        <v>1183</v>
      </c>
      <c r="G15" s="597"/>
      <c r="H15" s="653">
        <v>5000</v>
      </c>
      <c r="I15" s="227"/>
      <c r="J15" s="597"/>
      <c r="K15" s="601">
        <f>N15</f>
        <v>5000</v>
      </c>
      <c r="L15" s="227"/>
      <c r="M15" s="597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2674</v>
      </c>
      <c r="E16" s="63" t="s">
        <v>871</v>
      </c>
      <c r="F16" s="71" t="s">
        <v>1183</v>
      </c>
      <c r="G16" s="597"/>
      <c r="H16" s="227">
        <v>13400</v>
      </c>
      <c r="I16" s="227"/>
      <c r="J16" s="597"/>
      <c r="K16" s="227">
        <v>1300</v>
      </c>
      <c r="L16" s="227"/>
      <c r="M16" s="597"/>
      <c r="N16" s="227">
        <v>900</v>
      </c>
      <c r="O16" s="63"/>
      <c r="P16" s="63"/>
    </row>
    <row r="17" spans="2:16" s="591" customFormat="1" x14ac:dyDescent="0.2">
      <c r="B17" s="63" t="s">
        <v>322</v>
      </c>
      <c r="C17" s="71" t="s">
        <v>315</v>
      </c>
      <c r="D17" s="71" t="s">
        <v>2674</v>
      </c>
      <c r="E17" s="63" t="s">
        <v>2558</v>
      </c>
      <c r="F17" s="71" t="s">
        <v>1183</v>
      </c>
      <c r="G17" s="597"/>
      <c r="H17" s="653">
        <v>5000</v>
      </c>
      <c r="I17" s="227"/>
      <c r="J17" s="597"/>
      <c r="K17" s="601">
        <f>N17</f>
        <v>5000</v>
      </c>
      <c r="L17" s="227"/>
      <c r="M17" s="597"/>
      <c r="N17" s="227">
        <v>5000</v>
      </c>
      <c r="O17" s="63"/>
      <c r="P17" s="63"/>
    </row>
    <row r="18" spans="2:16" ht="13.15" customHeight="1" x14ac:dyDescent="0.2">
      <c r="B18" s="63"/>
      <c r="C18" s="773" t="s">
        <v>2593</v>
      </c>
      <c r="D18" s="71" t="s">
        <v>2674</v>
      </c>
      <c r="E18" s="63" t="s">
        <v>2579</v>
      </c>
      <c r="F18" s="63" t="s">
        <v>1183</v>
      </c>
      <c r="G18" s="597"/>
      <c r="H18" s="653">
        <f>N18</f>
        <v>90000</v>
      </c>
      <c r="I18" s="227"/>
      <c r="J18" s="597"/>
      <c r="K18" s="601">
        <f>N18</f>
        <v>90000</v>
      </c>
      <c r="L18" s="227"/>
      <c r="M18" s="597"/>
      <c r="N18" s="227">
        <v>90000</v>
      </c>
      <c r="O18" s="63"/>
      <c r="P18" s="227">
        <v>90000</v>
      </c>
    </row>
    <row r="19" spans="2:16" x14ac:dyDescent="0.2">
      <c r="B19" s="63"/>
      <c r="C19" s="774"/>
      <c r="D19" s="71" t="s">
        <v>2674</v>
      </c>
      <c r="E19" s="63" t="s">
        <v>2581</v>
      </c>
      <c r="F19" s="63" t="s">
        <v>1183</v>
      </c>
      <c r="G19" s="597"/>
      <c r="H19" s="227">
        <f>N19+169000</f>
        <v>439000</v>
      </c>
      <c r="I19" s="227"/>
      <c r="J19" s="597"/>
      <c r="K19" s="227">
        <f>N19+169000*40%</f>
        <v>337600</v>
      </c>
      <c r="L19" s="227"/>
      <c r="M19" s="597"/>
      <c r="N19" s="227">
        <v>270000</v>
      </c>
      <c r="O19" s="63"/>
      <c r="P19" s="63"/>
    </row>
    <row r="20" spans="2:16" x14ac:dyDescent="0.2">
      <c r="B20" s="63" t="s">
        <v>315</v>
      </c>
      <c r="C20" s="774"/>
      <c r="D20" s="71" t="s">
        <v>2674</v>
      </c>
      <c r="E20" s="63" t="s">
        <v>2580</v>
      </c>
      <c r="F20" s="63" t="s">
        <v>327</v>
      </c>
      <c r="G20" s="597">
        <f>750000-415000</f>
        <v>335000</v>
      </c>
      <c r="H20" s="227"/>
      <c r="I20" s="227"/>
      <c r="J20" s="602">
        <f>M20</f>
        <v>600000</v>
      </c>
      <c r="K20" s="227"/>
      <c r="L20" s="227"/>
      <c r="M20" s="598">
        <v>600000</v>
      </c>
      <c r="N20" s="227"/>
      <c r="O20" s="598">
        <f>600000-154000</f>
        <v>446000</v>
      </c>
      <c r="P20" s="63"/>
    </row>
    <row r="21" spans="2:16" x14ac:dyDescent="0.2">
      <c r="B21" s="63" t="s">
        <v>315</v>
      </c>
      <c r="C21" s="774"/>
      <c r="D21" s="71" t="s">
        <v>2674</v>
      </c>
      <c r="E21" s="63" t="s">
        <v>2578</v>
      </c>
      <c r="F21" s="63" t="s">
        <v>1183</v>
      </c>
      <c r="G21" s="652">
        <f>200000</f>
        <v>200000</v>
      </c>
      <c r="H21" s="227"/>
      <c r="I21" s="227"/>
      <c r="J21" s="602">
        <f>M21</f>
        <v>200000</v>
      </c>
      <c r="K21" s="227"/>
      <c r="L21" s="227"/>
      <c r="M21" s="598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74"/>
      <c r="D22" s="71" t="s">
        <v>1038</v>
      </c>
      <c r="E22" s="63" t="s">
        <v>1185</v>
      </c>
      <c r="F22" s="63" t="s">
        <v>1184</v>
      </c>
      <c r="G22" s="598">
        <f>1000+15000+18000</f>
        <v>34000</v>
      </c>
      <c r="H22" s="227"/>
      <c r="I22" s="227"/>
      <c r="J22" s="598">
        <f>37303+14272+15932</f>
        <v>67507</v>
      </c>
      <c r="K22" s="227"/>
      <c r="L22" s="227"/>
      <c r="M22" s="598">
        <f>(35+13+14)*1000</f>
        <v>62000</v>
      </c>
      <c r="N22" s="227"/>
      <c r="O22" s="718">
        <v>5000</v>
      </c>
      <c r="P22" s="63"/>
    </row>
    <row r="23" spans="2:16" x14ac:dyDescent="0.2">
      <c r="B23" s="63" t="s">
        <v>315</v>
      </c>
      <c r="C23" s="774"/>
      <c r="D23" s="71" t="s">
        <v>1044</v>
      </c>
      <c r="E23" s="63" t="s">
        <v>1036</v>
      </c>
      <c r="F23" s="63" t="s">
        <v>1183</v>
      </c>
      <c r="G23" s="651">
        <f>205000+68000</f>
        <v>273000</v>
      </c>
      <c r="H23" s="227"/>
      <c r="I23" s="227"/>
      <c r="J23" s="597">
        <f>57247+54415</f>
        <v>111662</v>
      </c>
      <c r="K23" s="227"/>
      <c r="L23" s="227"/>
      <c r="M23" s="597">
        <f>51797+50452</f>
        <v>102249</v>
      </c>
      <c r="N23" s="227"/>
      <c r="O23" s="598">
        <v>78000</v>
      </c>
      <c r="P23" s="63"/>
    </row>
    <row r="24" spans="2:16" x14ac:dyDescent="0.2">
      <c r="B24" s="63" t="s">
        <v>315</v>
      </c>
      <c r="C24" s="774"/>
      <c r="D24" s="71" t="s">
        <v>1044</v>
      </c>
      <c r="E24" s="63" t="s">
        <v>2561</v>
      </c>
      <c r="F24" s="63" t="s">
        <v>1183</v>
      </c>
      <c r="G24" s="600">
        <f>(113000+20000)+8000</f>
        <v>141000</v>
      </c>
      <c r="H24" s="227"/>
      <c r="I24" s="227"/>
      <c r="J24" s="598">
        <v>24201</v>
      </c>
      <c r="K24" s="227"/>
      <c r="L24" s="227"/>
      <c r="M24" s="598">
        <v>17000</v>
      </c>
      <c r="N24" s="227"/>
      <c r="O24" s="718">
        <v>142000</v>
      </c>
      <c r="P24" s="63"/>
    </row>
    <row r="25" spans="2:16" x14ac:dyDescent="0.2">
      <c r="B25" s="63" t="s">
        <v>322</v>
      </c>
      <c r="C25" s="774"/>
      <c r="D25" s="63" t="s">
        <v>1182</v>
      </c>
      <c r="E25" s="63" t="s">
        <v>1181</v>
      </c>
      <c r="F25" s="63" t="s">
        <v>1184</v>
      </c>
      <c r="G25" s="652">
        <v>5000</v>
      </c>
      <c r="H25" s="227"/>
      <c r="I25" s="227"/>
      <c r="J25" s="654">
        <v>5000</v>
      </c>
      <c r="K25" s="227"/>
      <c r="L25" s="227"/>
      <c r="M25" s="597">
        <v>5000</v>
      </c>
      <c r="N25" s="227"/>
      <c r="O25" s="63"/>
      <c r="P25" s="63"/>
    </row>
    <row r="26" spans="2:16" s="595" customFormat="1" x14ac:dyDescent="0.2">
      <c r="B26" s="63" t="s">
        <v>2559</v>
      </c>
      <c r="C26" s="775"/>
      <c r="D26" s="71" t="s">
        <v>2674</v>
      </c>
      <c r="E26" s="63" t="s">
        <v>2591</v>
      </c>
      <c r="F26" s="63" t="s">
        <v>327</v>
      </c>
      <c r="G26" s="598">
        <f>15000*3</f>
        <v>45000</v>
      </c>
      <c r="H26" s="227"/>
      <c r="I26" s="227"/>
      <c r="J26" s="602">
        <v>0</v>
      </c>
      <c r="K26" s="227"/>
      <c r="L26" s="227"/>
      <c r="M26" s="598">
        <v>0</v>
      </c>
      <c r="N26" s="227"/>
      <c r="O26" s="63"/>
      <c r="P26" s="63"/>
    </row>
    <row r="27" spans="2:16" x14ac:dyDescent="0.2">
      <c r="B27" s="63" t="s">
        <v>2559</v>
      </c>
      <c r="C27" s="71" t="s">
        <v>314</v>
      </c>
      <c r="D27" s="71" t="s">
        <v>2674</v>
      </c>
      <c r="E27" s="63" t="s">
        <v>2582</v>
      </c>
      <c r="F27" s="63" t="s">
        <v>1183</v>
      </c>
      <c r="G27" s="598" t="s">
        <v>2560</v>
      </c>
      <c r="H27" s="227"/>
      <c r="I27" s="227"/>
      <c r="J27" s="602">
        <f>M27</f>
        <v>20000</v>
      </c>
      <c r="K27" s="227"/>
      <c r="L27" s="227"/>
      <c r="M27" s="598">
        <v>20000</v>
      </c>
      <c r="N27" s="227"/>
      <c r="O27" s="598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2574</v>
      </c>
      <c r="F28" s="63" t="s">
        <v>1184</v>
      </c>
      <c r="G28" s="598">
        <v>1000</v>
      </c>
      <c r="H28" s="227" t="s">
        <v>2563</v>
      </c>
      <c r="I28" s="227"/>
      <c r="J28" s="598">
        <v>92574</v>
      </c>
      <c r="K28" s="227"/>
      <c r="L28" s="227"/>
      <c r="M28" s="598">
        <v>102000</v>
      </c>
      <c r="N28" s="227"/>
      <c r="O28" s="718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2674</v>
      </c>
      <c r="E29" s="63" t="s">
        <v>2570</v>
      </c>
      <c r="F29" s="63" t="s">
        <v>1183</v>
      </c>
      <c r="G29" s="598">
        <v>40000</v>
      </c>
      <c r="H29" s="227"/>
      <c r="I29" s="227"/>
      <c r="J29" s="598">
        <v>27907</v>
      </c>
      <c r="K29" s="227"/>
      <c r="L29" s="227"/>
      <c r="M29" s="598">
        <v>6000</v>
      </c>
      <c r="N29" s="227"/>
      <c r="O29" s="718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2576</v>
      </c>
      <c r="F30" s="63" t="s">
        <v>1183</v>
      </c>
      <c r="G30" s="598">
        <v>2000</v>
      </c>
      <c r="H30" s="227"/>
      <c r="I30" s="227"/>
      <c r="J30" s="598">
        <v>28176</v>
      </c>
      <c r="K30" s="227"/>
      <c r="L30" s="227"/>
      <c r="M30" s="598">
        <v>20000</v>
      </c>
      <c r="N30" s="227"/>
      <c r="O30" s="63"/>
      <c r="P30" s="63"/>
    </row>
    <row r="31" spans="2:16" s="591" customFormat="1" x14ac:dyDescent="0.2">
      <c r="B31" s="63" t="s">
        <v>315</v>
      </c>
      <c r="C31" s="71" t="s">
        <v>315</v>
      </c>
      <c r="D31" s="71" t="s">
        <v>1044</v>
      </c>
      <c r="E31" s="63" t="s">
        <v>2575</v>
      </c>
      <c r="F31" s="63" t="s">
        <v>1183</v>
      </c>
      <c r="G31" s="598">
        <f>176000</f>
        <v>176000</v>
      </c>
      <c r="H31" s="227"/>
      <c r="I31" s="227"/>
      <c r="J31" s="602">
        <v>0</v>
      </c>
      <c r="K31" s="227"/>
      <c r="L31" s="227"/>
      <c r="M31" s="598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6" t="s">
        <v>1882</v>
      </c>
      <c r="F32" s="63" t="s">
        <v>1184</v>
      </c>
      <c r="G32" s="600">
        <v>9000</v>
      </c>
      <c r="H32" s="227"/>
      <c r="I32" s="227"/>
      <c r="J32" s="598">
        <v>20000</v>
      </c>
      <c r="K32" s="227"/>
      <c r="L32" s="227"/>
      <c r="M32" s="598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76" t="s">
        <v>1182</v>
      </c>
      <c r="E33" s="616" t="s">
        <v>2641</v>
      </c>
      <c r="F33" s="183" t="s">
        <v>2613</v>
      </c>
      <c r="G33" s="600">
        <v>598000</v>
      </c>
      <c r="H33" s="227"/>
      <c r="I33" s="227"/>
      <c r="J33" s="598">
        <f>27564</f>
        <v>27564</v>
      </c>
      <c r="K33" s="227"/>
      <c r="L33" s="227"/>
      <c r="M33" s="598">
        <v>20000</v>
      </c>
      <c r="N33" s="227"/>
      <c r="O33" s="718">
        <v>20000</v>
      </c>
      <c r="P33" s="63"/>
    </row>
    <row r="34" spans="2:16" s="632" customFormat="1" x14ac:dyDescent="0.2">
      <c r="B34" s="63"/>
      <c r="C34" s="71"/>
      <c r="D34" s="777"/>
      <c r="E34" s="616" t="s">
        <v>2642</v>
      </c>
      <c r="F34" s="183" t="s">
        <v>1183</v>
      </c>
      <c r="G34" s="598">
        <f>-140000</f>
        <v>-140000</v>
      </c>
      <c r="H34" s="227"/>
      <c r="I34" s="227"/>
      <c r="J34" s="598"/>
      <c r="K34" s="227"/>
      <c r="L34" s="227"/>
      <c r="M34" s="598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2568</v>
      </c>
      <c r="F35" s="71" t="s">
        <v>2572</v>
      </c>
      <c r="G35" s="598" t="s">
        <v>2569</v>
      </c>
      <c r="H35" s="227"/>
      <c r="I35" s="227"/>
      <c r="J35" s="598">
        <v>-30000</v>
      </c>
      <c r="K35" s="227"/>
      <c r="L35" s="227"/>
      <c r="M35" s="598">
        <v>-40000</v>
      </c>
      <c r="N35" s="227"/>
      <c r="O35" s="598">
        <v>-30000</v>
      </c>
      <c r="P35" s="63"/>
    </row>
    <row r="36" spans="2:16" s="615" customFormat="1" x14ac:dyDescent="0.2">
      <c r="B36" s="63"/>
      <c r="C36" s="71"/>
      <c r="D36" s="71" t="s">
        <v>1037</v>
      </c>
      <c r="E36" s="616" t="s">
        <v>2616</v>
      </c>
      <c r="F36" s="183" t="s">
        <v>1183</v>
      </c>
      <c r="G36" s="600" t="s">
        <v>2671</v>
      </c>
      <c r="H36" s="227"/>
      <c r="I36" s="227"/>
      <c r="J36" s="602">
        <v>0</v>
      </c>
      <c r="K36" s="227"/>
      <c r="L36" s="227"/>
      <c r="M36" s="598">
        <v>0</v>
      </c>
      <c r="N36" s="227"/>
      <c r="O36" s="63"/>
      <c r="P36" s="63"/>
    </row>
    <row r="37" spans="2:16" s="629" customFormat="1" x14ac:dyDescent="0.2">
      <c r="B37" s="63" t="s">
        <v>315</v>
      </c>
      <c r="C37" s="71" t="s">
        <v>315</v>
      </c>
      <c r="D37" s="71" t="s">
        <v>1182</v>
      </c>
      <c r="E37" s="616" t="s">
        <v>2638</v>
      </c>
      <c r="F37" s="63" t="s">
        <v>1183</v>
      </c>
      <c r="G37" s="598">
        <v>16000</v>
      </c>
      <c r="H37" s="227"/>
      <c r="I37" s="227"/>
      <c r="J37" s="598"/>
      <c r="K37" s="227"/>
      <c r="L37" s="227"/>
      <c r="M37" s="598"/>
      <c r="N37" s="227"/>
      <c r="O37" s="63"/>
      <c r="P37" s="63"/>
    </row>
    <row r="38" spans="2:16" s="615" customFormat="1" x14ac:dyDescent="0.2">
      <c r="B38" s="63"/>
      <c r="C38" s="71"/>
      <c r="D38" s="71"/>
      <c r="E38" s="63" t="s">
        <v>2614</v>
      </c>
      <c r="F38" s="71" t="s">
        <v>2572</v>
      </c>
      <c r="G38" s="598" t="s">
        <v>2615</v>
      </c>
      <c r="H38" s="227"/>
      <c r="I38" s="227"/>
      <c r="J38" s="598" t="s">
        <v>427</v>
      </c>
      <c r="K38" s="227"/>
      <c r="L38" s="227"/>
      <c r="M38" s="598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2571</v>
      </c>
      <c r="F39" s="63" t="s">
        <v>1184</v>
      </c>
      <c r="G39" s="598" t="s">
        <v>330</v>
      </c>
      <c r="H39" s="227"/>
      <c r="I39" s="227"/>
      <c r="J39" s="598" t="s">
        <v>330</v>
      </c>
      <c r="K39" s="227"/>
      <c r="L39" s="227"/>
      <c r="M39" s="598" t="s">
        <v>330</v>
      </c>
      <c r="N39" s="227"/>
      <c r="O39" s="63"/>
      <c r="P39" s="63"/>
    </row>
    <row r="40" spans="2:16" x14ac:dyDescent="0.2">
      <c r="E40" s="207"/>
      <c r="F40" s="207" t="s">
        <v>2567</v>
      </c>
      <c r="G40" s="114">
        <f>SUM(G4:G39)</f>
        <v>1735000</v>
      </c>
      <c r="H40" s="594">
        <f>SUM(H4:H39)</f>
        <v>628000</v>
      </c>
      <c r="J40" s="114">
        <f>SUM(J4:J39)</f>
        <v>1194591</v>
      </c>
      <c r="K40" s="594">
        <f>SUM(K4:K39)</f>
        <v>498618</v>
      </c>
      <c r="M40" s="114">
        <f>SUM(M4:M39)</f>
        <v>1114249</v>
      </c>
      <c r="N40" s="594">
        <f>SUM(N4:N39)</f>
        <v>493000</v>
      </c>
      <c r="O40" s="114">
        <f>SUM(O4:O39)</f>
        <v>1006000</v>
      </c>
      <c r="P40" s="594">
        <f>SUM(P4:P39)</f>
        <v>231020</v>
      </c>
    </row>
    <row r="41" spans="2:16" s="591" customFormat="1" x14ac:dyDescent="0.2">
      <c r="E41" s="207"/>
      <c r="F41" s="207" t="s">
        <v>2617</v>
      </c>
      <c r="G41" s="114">
        <v>1735000</v>
      </c>
      <c r="H41" s="594">
        <v>628000</v>
      </c>
      <c r="I41" s="2"/>
      <c r="J41" s="114">
        <v>1194591</v>
      </c>
      <c r="K41" s="594">
        <v>498618</v>
      </c>
      <c r="L41" s="2"/>
      <c r="M41" s="114">
        <v>1114249</v>
      </c>
      <c r="N41" s="594">
        <v>493000</v>
      </c>
      <c r="O41" s="114">
        <v>1006000</v>
      </c>
      <c r="P41" s="594">
        <v>231202</v>
      </c>
    </row>
    <row r="42" spans="2:16" s="592" customFormat="1" x14ac:dyDescent="0.2">
      <c r="E42" s="596" t="s">
        <v>2590</v>
      </c>
      <c r="F42" s="202">
        <v>1.33</v>
      </c>
      <c r="G42" s="114"/>
      <c r="H42" s="114" t="s">
        <v>2562</v>
      </c>
      <c r="I42" s="2"/>
      <c r="J42" s="114"/>
      <c r="K42" s="594"/>
      <c r="L42" s="2"/>
    </row>
    <row r="43" spans="2:16" s="592" customFormat="1" x14ac:dyDescent="0.2">
      <c r="E43" s="207"/>
      <c r="F43" s="207" t="s">
        <v>2672</v>
      </c>
      <c r="G43" s="772">
        <f>G40/F42+H40</f>
        <v>1932511.2781954887</v>
      </c>
      <c r="H43" s="772"/>
      <c r="I43" s="2"/>
      <c r="J43" s="114"/>
      <c r="K43" s="2"/>
      <c r="L43" s="2"/>
      <c r="M43" s="114"/>
      <c r="N43" s="2"/>
    </row>
    <row r="44" spans="2:16" s="592" customFormat="1" x14ac:dyDescent="0.2">
      <c r="E44" s="207"/>
      <c r="F44" s="207" t="s">
        <v>2673</v>
      </c>
      <c r="G44" s="771">
        <f>H40*F42+G40</f>
        <v>2570240</v>
      </c>
      <c r="H44" s="771"/>
      <c r="I44" s="2"/>
      <c r="J44" s="771">
        <f>K40*1.37+J40</f>
        <v>1877697.6600000001</v>
      </c>
      <c r="K44" s="771"/>
      <c r="L44" s="2"/>
      <c r="M44" s="771">
        <f>N40*1.37+M40</f>
        <v>1789659</v>
      </c>
      <c r="N44" s="771"/>
      <c r="O44" s="771">
        <f>P40*1.36+O40</f>
        <v>1320187.2</v>
      </c>
      <c r="P44" s="771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0" t="s">
        <v>1186</v>
      </c>
      <c r="C47" s="770"/>
      <c r="D47" s="770"/>
      <c r="E47" s="770"/>
      <c r="F47" s="770"/>
      <c r="G47" s="770"/>
      <c r="H47" s="770"/>
      <c r="I47" s="770"/>
      <c r="J47" s="770"/>
      <c r="K47" s="770"/>
      <c r="L47" s="770"/>
      <c r="M47" s="770"/>
      <c r="N47" s="770"/>
    </row>
    <row r="48" spans="2:16" x14ac:dyDescent="0.2">
      <c r="B48" s="770" t="s">
        <v>2566</v>
      </c>
      <c r="C48" s="770"/>
      <c r="D48" s="770"/>
      <c r="E48" s="770"/>
      <c r="F48" s="770"/>
      <c r="G48" s="770"/>
      <c r="H48" s="770"/>
      <c r="I48" s="770"/>
      <c r="J48" s="770"/>
      <c r="K48" s="770"/>
      <c r="L48" s="770"/>
      <c r="M48" s="770"/>
      <c r="N48" s="770"/>
    </row>
    <row r="49" spans="2:14" x14ac:dyDescent="0.2">
      <c r="B49" s="770" t="s">
        <v>2565</v>
      </c>
      <c r="C49" s="770"/>
      <c r="D49" s="770"/>
      <c r="E49" s="770"/>
      <c r="F49" s="770"/>
      <c r="G49" s="770"/>
      <c r="H49" s="770"/>
      <c r="I49" s="770"/>
      <c r="J49" s="770"/>
      <c r="K49" s="770"/>
      <c r="L49" s="770"/>
      <c r="M49" s="770"/>
      <c r="N49" s="770"/>
    </row>
    <row r="50" spans="2:14" x14ac:dyDescent="0.2">
      <c r="B50" s="769" t="s">
        <v>2564</v>
      </c>
      <c r="C50" s="769"/>
      <c r="D50" s="769"/>
      <c r="E50" s="769"/>
      <c r="F50" s="769"/>
      <c r="G50" s="769"/>
      <c r="H50" s="769"/>
      <c r="I50" s="769"/>
      <c r="J50" s="769"/>
      <c r="K50" s="769"/>
      <c r="L50" s="769"/>
      <c r="M50" s="769"/>
      <c r="N50" s="769"/>
    </row>
    <row r="51" spans="2:14" x14ac:dyDescent="0.2">
      <c r="B51" s="769"/>
      <c r="C51" s="769"/>
      <c r="D51" s="769"/>
      <c r="E51" s="769"/>
      <c r="F51" s="769"/>
      <c r="G51" s="769"/>
      <c r="H51" s="769"/>
      <c r="I51" s="769"/>
      <c r="J51" s="769"/>
      <c r="K51" s="769"/>
      <c r="L51" s="769"/>
      <c r="M51" s="769"/>
      <c r="N51" s="769"/>
    </row>
    <row r="52" spans="2:14" x14ac:dyDescent="0.2">
      <c r="B52" s="769"/>
      <c r="C52" s="769"/>
      <c r="D52" s="769"/>
      <c r="E52" s="769"/>
      <c r="F52" s="769"/>
      <c r="G52" s="769"/>
      <c r="H52" s="769"/>
      <c r="I52" s="769"/>
      <c r="J52" s="769"/>
      <c r="K52" s="769"/>
      <c r="L52" s="769"/>
      <c r="M52" s="769"/>
      <c r="N52" s="76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0" bestFit="1" customWidth="1"/>
    <col min="3" max="3" width="11.5703125" style="64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0"/>
    </row>
    <row r="2" spans="2:10" x14ac:dyDescent="0.2">
      <c r="B2" s="637" t="s">
        <v>461</v>
      </c>
      <c r="C2" s="641" t="s">
        <v>460</v>
      </c>
      <c r="D2" s="636" t="s">
        <v>456</v>
      </c>
      <c r="E2" s="637" t="s">
        <v>455</v>
      </c>
      <c r="F2" s="635" t="s">
        <v>457</v>
      </c>
      <c r="G2" s="638" t="s">
        <v>2644</v>
      </c>
      <c r="H2" s="638" t="s">
        <v>458</v>
      </c>
    </row>
    <row r="3" spans="2:10" x14ac:dyDescent="0.2">
      <c r="B3" s="63"/>
      <c r="C3" s="642"/>
      <c r="D3" s="63"/>
      <c r="E3" s="90"/>
      <c r="F3" s="90"/>
      <c r="G3" s="90"/>
      <c r="H3" s="90"/>
    </row>
    <row r="4" spans="2:10" x14ac:dyDescent="0.2">
      <c r="B4" s="63" t="s">
        <v>2653</v>
      </c>
      <c r="C4" s="64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2651</v>
      </c>
      <c r="C5" s="642">
        <v>44561</v>
      </c>
      <c r="D5" s="63" t="s">
        <v>2659</v>
      </c>
      <c r="E5" s="90">
        <v>505987.67999999993</v>
      </c>
      <c r="F5" s="63" t="s">
        <v>2659</v>
      </c>
      <c r="G5" s="90"/>
      <c r="H5" s="90"/>
      <c r="J5" s="52"/>
    </row>
    <row r="6" spans="2:10" s="634" customFormat="1" x14ac:dyDescent="0.2">
      <c r="B6" s="63" t="s">
        <v>915</v>
      </c>
      <c r="C6" s="64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4" customFormat="1" x14ac:dyDescent="0.2">
      <c r="B7" s="63" t="s">
        <v>915</v>
      </c>
      <c r="C7" s="64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4" customFormat="1" x14ac:dyDescent="0.2">
      <c r="B8" s="63" t="s">
        <v>2647</v>
      </c>
      <c r="C8" s="64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4" customFormat="1" x14ac:dyDescent="0.2">
      <c r="B9" s="63" t="s">
        <v>2647</v>
      </c>
      <c r="C9" s="64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4" customFormat="1" x14ac:dyDescent="0.2">
      <c r="B10" s="63" t="s">
        <v>2647</v>
      </c>
      <c r="C10" s="64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4" customFormat="1" x14ac:dyDescent="0.2">
      <c r="B11" s="63" t="s">
        <v>2647</v>
      </c>
      <c r="C11" s="64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4" customFormat="1" x14ac:dyDescent="0.2">
      <c r="B12" s="63" t="s">
        <v>2647</v>
      </c>
      <c r="C12" s="64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3" customFormat="1" x14ac:dyDescent="0.2">
      <c r="B13" s="63" t="s">
        <v>2647</v>
      </c>
      <c r="C13" s="64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3" customFormat="1" x14ac:dyDescent="0.2">
      <c r="B14" s="63" t="s">
        <v>2647</v>
      </c>
      <c r="C14" s="64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3" customFormat="1" x14ac:dyDescent="0.2">
      <c r="B15" s="63" t="s">
        <v>2647</v>
      </c>
      <c r="C15" s="64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3" customFormat="1" x14ac:dyDescent="0.2">
      <c r="B16" s="63" t="s">
        <v>2647</v>
      </c>
      <c r="C16" s="64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8" customFormat="1" x14ac:dyDescent="0.2">
      <c r="B17" s="63" t="s">
        <v>2647</v>
      </c>
      <c r="C17" s="64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8" customFormat="1" x14ac:dyDescent="0.2">
      <c r="B18" s="63" t="s">
        <v>2646</v>
      </c>
      <c r="C18" s="64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8" customFormat="1" x14ac:dyDescent="0.2">
      <c r="B19" s="63" t="s">
        <v>2643</v>
      </c>
      <c r="C19" s="64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8" customFormat="1" x14ac:dyDescent="0.2">
      <c r="B20" s="63" t="s">
        <v>2648</v>
      </c>
      <c r="C20" s="64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2645</v>
      </c>
      <c r="C21" s="642">
        <v>43710</v>
      </c>
      <c r="D21" s="645">
        <v>1740000</v>
      </c>
      <c r="E21" s="90">
        <f t="shared" si="0"/>
        <v>1090821.68</v>
      </c>
      <c r="F21" s="631">
        <v>1740000</v>
      </c>
      <c r="G21" s="90">
        <v>46524</v>
      </c>
      <c r="H21" s="90">
        <f>F21/G21</f>
        <v>37.400051586278053</v>
      </c>
    </row>
    <row r="22" spans="2:11" s="628" customFormat="1" x14ac:dyDescent="0.2">
      <c r="B22" s="183"/>
      <c r="C22" s="642">
        <v>43553</v>
      </c>
      <c r="D22" s="646"/>
      <c r="E22" s="90">
        <f t="shared" si="0"/>
        <v>1090821.68</v>
      </c>
      <c r="F22" s="631">
        <v>100</v>
      </c>
      <c r="G22" s="90"/>
      <c r="H22" s="90"/>
    </row>
    <row r="23" spans="2:11" x14ac:dyDescent="0.2">
      <c r="B23" s="63" t="s">
        <v>1031</v>
      </c>
      <c r="C23" s="64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8" customFormat="1" x14ac:dyDescent="0.2">
      <c r="B24" s="63" t="s">
        <v>2658</v>
      </c>
      <c r="C24" s="642">
        <v>43100</v>
      </c>
      <c r="D24" s="63" t="s">
        <v>2659</v>
      </c>
      <c r="E24" s="90">
        <v>705314.48</v>
      </c>
      <c r="F24" s="63" t="s">
        <v>2659</v>
      </c>
      <c r="G24" s="90"/>
      <c r="H24" s="90"/>
      <c r="K24" s="52"/>
    </row>
    <row r="25" spans="2:11" x14ac:dyDescent="0.2">
      <c r="B25" s="63" t="s">
        <v>2656</v>
      </c>
      <c r="C25" s="642" t="s">
        <v>2637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9" customFormat="1" x14ac:dyDescent="0.2">
      <c r="B26" s="63" t="s">
        <v>2652</v>
      </c>
      <c r="C26" s="642" t="s">
        <v>2657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2654</v>
      </c>
      <c r="C35" s="64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2655</v>
      </c>
      <c r="C36" s="64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9" customFormat="1" x14ac:dyDescent="0.2">
      <c r="B38" s="63"/>
      <c r="C38" s="642"/>
      <c r="D38" s="63"/>
      <c r="E38" s="779" t="s">
        <v>2662</v>
      </c>
      <c r="F38" s="780"/>
      <c r="G38" s="90"/>
      <c r="H38" s="90"/>
    </row>
    <row r="39" spans="2:8" x14ac:dyDescent="0.2">
      <c r="B39" s="63" t="s">
        <v>2660</v>
      </c>
      <c r="C39" s="64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2661</v>
      </c>
    </row>
    <row r="41" spans="2:8" ht="18" x14ac:dyDescent="0.25">
      <c r="B41" s="778" t="s">
        <v>989</v>
      </c>
      <c r="C41" s="778"/>
      <c r="D41" s="778"/>
      <c r="E41" s="778"/>
      <c r="F41" s="778"/>
      <c r="G41" s="778"/>
      <c r="H41" s="77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7" t="s">
        <v>909</v>
      </c>
      <c r="C1" s="757"/>
      <c r="D1" s="756" t="s">
        <v>515</v>
      </c>
      <c r="E1" s="756"/>
      <c r="F1" s="757" t="s">
        <v>513</v>
      </c>
      <c r="G1" s="757"/>
      <c r="H1" s="784" t="s">
        <v>549</v>
      </c>
      <c r="I1" s="784"/>
      <c r="J1" s="756" t="s">
        <v>515</v>
      </c>
      <c r="K1" s="756"/>
      <c r="L1" s="757" t="s">
        <v>908</v>
      </c>
      <c r="M1" s="757"/>
      <c r="N1" s="784" t="s">
        <v>549</v>
      </c>
      <c r="O1" s="784"/>
      <c r="P1" s="756" t="s">
        <v>515</v>
      </c>
      <c r="Q1" s="756"/>
      <c r="R1" s="757" t="s">
        <v>552</v>
      </c>
      <c r="S1" s="757"/>
      <c r="T1" s="784" t="s">
        <v>549</v>
      </c>
      <c r="U1" s="784"/>
      <c r="V1" s="756" t="s">
        <v>515</v>
      </c>
      <c r="W1" s="756"/>
      <c r="X1" s="757" t="s">
        <v>907</v>
      </c>
      <c r="Y1" s="757"/>
      <c r="Z1" s="784" t="s">
        <v>549</v>
      </c>
      <c r="AA1" s="784"/>
      <c r="AB1" s="756" t="s">
        <v>515</v>
      </c>
      <c r="AC1" s="756"/>
      <c r="AD1" s="757" t="s">
        <v>591</v>
      </c>
      <c r="AE1" s="757"/>
      <c r="AF1" s="784" t="s">
        <v>549</v>
      </c>
      <c r="AG1" s="784"/>
      <c r="AH1" s="756" t="s">
        <v>515</v>
      </c>
      <c r="AI1" s="756"/>
      <c r="AJ1" s="757" t="s">
        <v>906</v>
      </c>
      <c r="AK1" s="757"/>
      <c r="AL1" s="784" t="s">
        <v>626</v>
      </c>
      <c r="AM1" s="784"/>
      <c r="AN1" s="756" t="s">
        <v>627</v>
      </c>
      <c r="AO1" s="756"/>
      <c r="AP1" s="757" t="s">
        <v>621</v>
      </c>
      <c r="AQ1" s="757"/>
      <c r="AR1" s="784" t="s">
        <v>549</v>
      </c>
      <c r="AS1" s="784"/>
      <c r="AT1" s="756" t="s">
        <v>515</v>
      </c>
      <c r="AU1" s="756"/>
      <c r="AV1" s="757" t="s">
        <v>905</v>
      </c>
      <c r="AW1" s="757"/>
      <c r="AX1" s="784" t="s">
        <v>549</v>
      </c>
      <c r="AY1" s="784"/>
      <c r="AZ1" s="756" t="s">
        <v>515</v>
      </c>
      <c r="BA1" s="756"/>
      <c r="BB1" s="757" t="s">
        <v>653</v>
      </c>
      <c r="BC1" s="757"/>
      <c r="BD1" s="784" t="s">
        <v>549</v>
      </c>
      <c r="BE1" s="784"/>
      <c r="BF1" s="756" t="s">
        <v>515</v>
      </c>
      <c r="BG1" s="756"/>
      <c r="BH1" s="757" t="s">
        <v>904</v>
      </c>
      <c r="BI1" s="757"/>
      <c r="BJ1" s="784" t="s">
        <v>549</v>
      </c>
      <c r="BK1" s="784"/>
      <c r="BL1" s="756" t="s">
        <v>515</v>
      </c>
      <c r="BM1" s="756"/>
      <c r="BN1" s="757" t="s">
        <v>921</v>
      </c>
      <c r="BO1" s="757"/>
      <c r="BP1" s="784" t="s">
        <v>549</v>
      </c>
      <c r="BQ1" s="784"/>
      <c r="BR1" s="756" t="s">
        <v>515</v>
      </c>
      <c r="BS1" s="756"/>
      <c r="BT1" s="757" t="s">
        <v>903</v>
      </c>
      <c r="BU1" s="757"/>
      <c r="BV1" s="784" t="s">
        <v>704</v>
      </c>
      <c r="BW1" s="784"/>
      <c r="BX1" s="756" t="s">
        <v>705</v>
      </c>
      <c r="BY1" s="756"/>
      <c r="BZ1" s="757" t="s">
        <v>703</v>
      </c>
      <c r="CA1" s="757"/>
      <c r="CB1" s="784" t="s">
        <v>730</v>
      </c>
      <c r="CC1" s="784"/>
      <c r="CD1" s="756" t="s">
        <v>731</v>
      </c>
      <c r="CE1" s="756"/>
      <c r="CF1" s="757" t="s">
        <v>902</v>
      </c>
      <c r="CG1" s="757"/>
      <c r="CH1" s="784" t="s">
        <v>730</v>
      </c>
      <c r="CI1" s="784"/>
      <c r="CJ1" s="756" t="s">
        <v>731</v>
      </c>
      <c r="CK1" s="756"/>
      <c r="CL1" s="757" t="s">
        <v>748</v>
      </c>
      <c r="CM1" s="757"/>
      <c r="CN1" s="784" t="s">
        <v>730</v>
      </c>
      <c r="CO1" s="784"/>
      <c r="CP1" s="756" t="s">
        <v>731</v>
      </c>
      <c r="CQ1" s="756"/>
      <c r="CR1" s="757" t="s">
        <v>901</v>
      </c>
      <c r="CS1" s="757"/>
      <c r="CT1" s="784" t="s">
        <v>730</v>
      </c>
      <c r="CU1" s="784"/>
      <c r="CV1" s="782" t="s">
        <v>731</v>
      </c>
      <c r="CW1" s="782"/>
      <c r="CX1" s="757" t="s">
        <v>769</v>
      </c>
      <c r="CY1" s="757"/>
      <c r="CZ1" s="784" t="s">
        <v>730</v>
      </c>
      <c r="DA1" s="784"/>
      <c r="DB1" s="782" t="s">
        <v>731</v>
      </c>
      <c r="DC1" s="782"/>
      <c r="DD1" s="757" t="s">
        <v>900</v>
      </c>
      <c r="DE1" s="757"/>
      <c r="DF1" s="784" t="s">
        <v>816</v>
      </c>
      <c r="DG1" s="784"/>
      <c r="DH1" s="782" t="s">
        <v>817</v>
      </c>
      <c r="DI1" s="782"/>
      <c r="DJ1" s="757" t="s">
        <v>809</v>
      </c>
      <c r="DK1" s="757"/>
      <c r="DL1" s="784" t="s">
        <v>816</v>
      </c>
      <c r="DM1" s="784"/>
      <c r="DN1" s="782" t="s">
        <v>731</v>
      </c>
      <c r="DO1" s="782"/>
      <c r="DP1" s="757" t="s">
        <v>899</v>
      </c>
      <c r="DQ1" s="757"/>
      <c r="DR1" s="784" t="s">
        <v>816</v>
      </c>
      <c r="DS1" s="784"/>
      <c r="DT1" s="782" t="s">
        <v>731</v>
      </c>
      <c r="DU1" s="782"/>
      <c r="DV1" s="757" t="s">
        <v>898</v>
      </c>
      <c r="DW1" s="757"/>
      <c r="DX1" s="784" t="s">
        <v>816</v>
      </c>
      <c r="DY1" s="784"/>
      <c r="DZ1" s="782" t="s">
        <v>731</v>
      </c>
      <c r="EA1" s="782"/>
      <c r="EB1" s="757" t="s">
        <v>897</v>
      </c>
      <c r="EC1" s="757"/>
      <c r="ED1" s="784" t="s">
        <v>816</v>
      </c>
      <c r="EE1" s="784"/>
      <c r="EF1" s="782" t="s">
        <v>731</v>
      </c>
      <c r="EG1" s="782"/>
      <c r="EH1" s="757" t="s">
        <v>883</v>
      </c>
      <c r="EI1" s="757"/>
      <c r="EJ1" s="784" t="s">
        <v>816</v>
      </c>
      <c r="EK1" s="784"/>
      <c r="EL1" s="782" t="s">
        <v>936</v>
      </c>
      <c r="EM1" s="782"/>
      <c r="EN1" s="757" t="s">
        <v>922</v>
      </c>
      <c r="EO1" s="757"/>
      <c r="EP1" s="784" t="s">
        <v>816</v>
      </c>
      <c r="EQ1" s="784"/>
      <c r="ER1" s="782" t="s">
        <v>950</v>
      </c>
      <c r="ES1" s="782"/>
      <c r="ET1" s="757" t="s">
        <v>937</v>
      </c>
      <c r="EU1" s="757"/>
      <c r="EV1" s="784" t="s">
        <v>816</v>
      </c>
      <c r="EW1" s="784"/>
      <c r="EX1" s="782" t="s">
        <v>530</v>
      </c>
      <c r="EY1" s="782"/>
      <c r="EZ1" s="757" t="s">
        <v>952</v>
      </c>
      <c r="FA1" s="757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83" t="s">
        <v>779</v>
      </c>
      <c r="CU7" s="75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83" t="s">
        <v>778</v>
      </c>
      <c r="DA8" s="75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83" t="s">
        <v>778</v>
      </c>
      <c r="DG8" s="75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83" t="s">
        <v>778</v>
      </c>
      <c r="DM8" s="75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83" t="s">
        <v>778</v>
      </c>
      <c r="DS8" s="757"/>
      <c r="DT8" s="142" t="s">
        <v>783</v>
      </c>
      <c r="DU8" s="142">
        <f>SUM(DU13:DU17)</f>
        <v>32</v>
      </c>
      <c r="DV8" s="63"/>
      <c r="DW8" s="63"/>
      <c r="DX8" s="783" t="s">
        <v>778</v>
      </c>
      <c r="DY8" s="75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83" t="s">
        <v>928</v>
      </c>
      <c r="EK8" s="75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83" t="s">
        <v>928</v>
      </c>
      <c r="EQ9" s="75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83" t="s">
        <v>928</v>
      </c>
      <c r="EW9" s="75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83" t="s">
        <v>928</v>
      </c>
      <c r="EE11" s="75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83" t="s">
        <v>778</v>
      </c>
      <c r="CU12" s="75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8" t="s">
        <v>782</v>
      </c>
      <c r="CU19" s="74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0" t="s">
        <v>858</v>
      </c>
      <c r="FA21" s="770"/>
      <c r="FC21" s="238">
        <f>FC20-FC22</f>
        <v>113457.16899999997</v>
      </c>
      <c r="FD21" s="230"/>
      <c r="FE21" s="781" t="s">
        <v>1546</v>
      </c>
      <c r="FF21" s="781"/>
      <c r="FG21" s="781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0" t="s">
        <v>871</v>
      </c>
      <c r="FA22" s="77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0" t="s">
        <v>1000</v>
      </c>
      <c r="FA23" s="770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0" t="s">
        <v>1076</v>
      </c>
      <c r="FA24" s="770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85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86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8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8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77"/>
  <sheetViews>
    <sheetView tabSelected="1" topLeftCell="JK1" zoomScaleNormal="100" workbookViewId="0">
      <selection activeCell="JM18" sqref="JM1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20" customWidth="1"/>
    <col min="261" max="261" width="9.140625" style="620" bestFit="1" customWidth="1"/>
    <col min="262" max="262" width="15.85546875" style="620" customWidth="1"/>
    <col min="263" max="263" width="10.85546875" style="620" bestFit="1" customWidth="1"/>
    <col min="264" max="264" width="18" style="620" customWidth="1"/>
    <col min="265" max="265" width="8.140625" style="620" customWidth="1"/>
    <col min="266" max="266" width="14.5703125" style="669" customWidth="1"/>
    <col min="267" max="267" width="10.140625" style="669" bestFit="1" customWidth="1"/>
    <col min="268" max="268" width="16.85546875" style="669" customWidth="1"/>
    <col min="269" max="269" width="11.85546875" style="669" bestFit="1" customWidth="1"/>
    <col min="270" max="270" width="17.7109375" style="669" customWidth="1"/>
    <col min="271" max="271" width="8.140625" style="669" bestFit="1" customWidth="1"/>
    <col min="272" max="272" width="14.5703125" style="720" customWidth="1"/>
    <col min="273" max="273" width="10.140625" style="720" bestFit="1" customWidth="1"/>
    <col min="274" max="274" width="16.85546875" style="720" customWidth="1"/>
    <col min="275" max="275" width="11.85546875" style="720" bestFit="1" customWidth="1"/>
    <col min="276" max="276" width="17.7109375" style="720" customWidth="1"/>
    <col min="277" max="277" width="8.140625" style="720" bestFit="1" customWidth="1"/>
    <col min="278" max="278" width="7.140625" style="720" customWidth="1"/>
    <col min="279" max="279" width="9.5703125" style="582" bestFit="1" customWidth="1"/>
    <col min="280" max="280" width="21.140625" style="720" bestFit="1" customWidth="1"/>
  </cols>
  <sheetData>
    <row r="1" spans="1:280" s="142" customFormat="1" x14ac:dyDescent="0.2">
      <c r="A1" s="797" t="s">
        <v>1209</v>
      </c>
      <c r="B1" s="797"/>
      <c r="C1" s="765" t="s">
        <v>292</v>
      </c>
      <c r="D1" s="765"/>
      <c r="E1" s="763" t="s">
        <v>1010</v>
      </c>
      <c r="F1" s="763"/>
      <c r="G1" s="797" t="s">
        <v>1210</v>
      </c>
      <c r="H1" s="797"/>
      <c r="I1" s="765" t="s">
        <v>292</v>
      </c>
      <c r="J1" s="765"/>
      <c r="K1" s="763" t="s">
        <v>1011</v>
      </c>
      <c r="L1" s="763"/>
      <c r="M1" s="797" t="s">
        <v>1211</v>
      </c>
      <c r="N1" s="797"/>
      <c r="O1" s="765" t="s">
        <v>292</v>
      </c>
      <c r="P1" s="765"/>
      <c r="Q1" s="763" t="s">
        <v>1057</v>
      </c>
      <c r="R1" s="763"/>
      <c r="S1" s="797" t="s">
        <v>1212</v>
      </c>
      <c r="T1" s="797"/>
      <c r="U1" s="765" t="s">
        <v>292</v>
      </c>
      <c r="V1" s="765"/>
      <c r="W1" s="763" t="s">
        <v>627</v>
      </c>
      <c r="X1" s="763"/>
      <c r="Y1" s="797" t="s">
        <v>1213</v>
      </c>
      <c r="Z1" s="797"/>
      <c r="AA1" s="765" t="s">
        <v>292</v>
      </c>
      <c r="AB1" s="765"/>
      <c r="AC1" s="763" t="s">
        <v>1084</v>
      </c>
      <c r="AD1" s="763"/>
      <c r="AE1" s="797" t="s">
        <v>1214</v>
      </c>
      <c r="AF1" s="797"/>
      <c r="AG1" s="765" t="s">
        <v>292</v>
      </c>
      <c r="AH1" s="765"/>
      <c r="AI1" s="763" t="s">
        <v>1134</v>
      </c>
      <c r="AJ1" s="763"/>
      <c r="AK1" s="797" t="s">
        <v>1217</v>
      </c>
      <c r="AL1" s="797"/>
      <c r="AM1" s="765" t="s">
        <v>1132</v>
      </c>
      <c r="AN1" s="765"/>
      <c r="AO1" s="763" t="s">
        <v>1133</v>
      </c>
      <c r="AP1" s="763"/>
      <c r="AQ1" s="797" t="s">
        <v>1218</v>
      </c>
      <c r="AR1" s="797"/>
      <c r="AS1" s="765" t="s">
        <v>1132</v>
      </c>
      <c r="AT1" s="765"/>
      <c r="AU1" s="763" t="s">
        <v>1178</v>
      </c>
      <c r="AV1" s="763"/>
      <c r="AW1" s="797" t="s">
        <v>1215</v>
      </c>
      <c r="AX1" s="797"/>
      <c r="AY1" s="763" t="s">
        <v>1241</v>
      </c>
      <c r="AZ1" s="763"/>
      <c r="BA1" s="797" t="s">
        <v>1215</v>
      </c>
      <c r="BB1" s="797"/>
      <c r="BC1" s="765" t="s">
        <v>816</v>
      </c>
      <c r="BD1" s="765"/>
      <c r="BE1" s="763" t="s">
        <v>1208</v>
      </c>
      <c r="BF1" s="763"/>
      <c r="BG1" s="797" t="s">
        <v>1216</v>
      </c>
      <c r="BH1" s="797"/>
      <c r="BI1" s="765" t="s">
        <v>816</v>
      </c>
      <c r="BJ1" s="765"/>
      <c r="BK1" s="763" t="s">
        <v>1208</v>
      </c>
      <c r="BL1" s="763"/>
      <c r="BM1" s="797" t="s">
        <v>1226</v>
      </c>
      <c r="BN1" s="797"/>
      <c r="BO1" s="765" t="s">
        <v>816</v>
      </c>
      <c r="BP1" s="765"/>
      <c r="BQ1" s="763" t="s">
        <v>1244</v>
      </c>
      <c r="BR1" s="763"/>
      <c r="BS1" s="797" t="s">
        <v>1243</v>
      </c>
      <c r="BT1" s="797"/>
      <c r="BU1" s="765" t="s">
        <v>816</v>
      </c>
      <c r="BV1" s="765"/>
      <c r="BW1" s="763" t="s">
        <v>1248</v>
      </c>
      <c r="BX1" s="763"/>
      <c r="BY1" s="797" t="s">
        <v>1270</v>
      </c>
      <c r="BZ1" s="797"/>
      <c r="CA1" s="765" t="s">
        <v>816</v>
      </c>
      <c r="CB1" s="765"/>
      <c r="CC1" s="763" t="s">
        <v>1244</v>
      </c>
      <c r="CD1" s="763"/>
      <c r="CE1" s="797" t="s">
        <v>1291</v>
      </c>
      <c r="CF1" s="797"/>
      <c r="CG1" s="765" t="s">
        <v>816</v>
      </c>
      <c r="CH1" s="765"/>
      <c r="CI1" s="763" t="s">
        <v>1248</v>
      </c>
      <c r="CJ1" s="763"/>
      <c r="CK1" s="797" t="s">
        <v>1307</v>
      </c>
      <c r="CL1" s="797"/>
      <c r="CM1" s="765" t="s">
        <v>816</v>
      </c>
      <c r="CN1" s="765"/>
      <c r="CO1" s="763" t="s">
        <v>1244</v>
      </c>
      <c r="CP1" s="763"/>
      <c r="CQ1" s="797" t="s">
        <v>1335</v>
      </c>
      <c r="CR1" s="797"/>
      <c r="CS1" s="788" t="s">
        <v>816</v>
      </c>
      <c r="CT1" s="788"/>
      <c r="CU1" s="763" t="s">
        <v>1391</v>
      </c>
      <c r="CV1" s="763"/>
      <c r="CW1" s="797" t="s">
        <v>1374</v>
      </c>
      <c r="CX1" s="797"/>
      <c r="CY1" s="788" t="s">
        <v>816</v>
      </c>
      <c r="CZ1" s="788"/>
      <c r="DA1" s="763" t="s">
        <v>1597</v>
      </c>
      <c r="DB1" s="763"/>
      <c r="DC1" s="797" t="s">
        <v>1394</v>
      </c>
      <c r="DD1" s="797"/>
      <c r="DE1" s="788" t="s">
        <v>816</v>
      </c>
      <c r="DF1" s="788"/>
      <c r="DG1" s="763" t="s">
        <v>1491</v>
      </c>
      <c r="DH1" s="763"/>
      <c r="DI1" s="797" t="s">
        <v>1594</v>
      </c>
      <c r="DJ1" s="797"/>
      <c r="DK1" s="788" t="s">
        <v>816</v>
      </c>
      <c r="DL1" s="788"/>
      <c r="DM1" s="763" t="s">
        <v>1391</v>
      </c>
      <c r="DN1" s="763"/>
      <c r="DO1" s="797" t="s">
        <v>1595</v>
      </c>
      <c r="DP1" s="797"/>
      <c r="DQ1" s="788" t="s">
        <v>816</v>
      </c>
      <c r="DR1" s="788"/>
      <c r="DS1" s="763" t="s">
        <v>1590</v>
      </c>
      <c r="DT1" s="763"/>
      <c r="DU1" s="797" t="s">
        <v>1596</v>
      </c>
      <c r="DV1" s="797"/>
      <c r="DW1" s="788" t="s">
        <v>816</v>
      </c>
      <c r="DX1" s="788"/>
      <c r="DY1" s="763" t="s">
        <v>1616</v>
      </c>
      <c r="DZ1" s="763"/>
      <c r="EA1" s="787" t="s">
        <v>1611</v>
      </c>
      <c r="EB1" s="787"/>
      <c r="EC1" s="788" t="s">
        <v>816</v>
      </c>
      <c r="ED1" s="788"/>
      <c r="EE1" s="763" t="s">
        <v>1590</v>
      </c>
      <c r="EF1" s="763"/>
      <c r="EG1" s="361"/>
      <c r="EH1" s="787" t="s">
        <v>1641</v>
      </c>
      <c r="EI1" s="787"/>
      <c r="EJ1" s="788" t="s">
        <v>816</v>
      </c>
      <c r="EK1" s="788"/>
      <c r="EL1" s="763" t="s">
        <v>1675</v>
      </c>
      <c r="EM1" s="763"/>
      <c r="EN1" s="787" t="s">
        <v>1666</v>
      </c>
      <c r="EO1" s="787"/>
      <c r="EP1" s="788" t="s">
        <v>816</v>
      </c>
      <c r="EQ1" s="788"/>
      <c r="ER1" s="763" t="s">
        <v>1715</v>
      </c>
      <c r="ES1" s="763"/>
      <c r="ET1" s="787" t="s">
        <v>1708</v>
      </c>
      <c r="EU1" s="787"/>
      <c r="EV1" s="788" t="s">
        <v>816</v>
      </c>
      <c r="EW1" s="788"/>
      <c r="EX1" s="763" t="s">
        <v>1616</v>
      </c>
      <c r="EY1" s="763"/>
      <c r="EZ1" s="787" t="s">
        <v>1743</v>
      </c>
      <c r="FA1" s="787"/>
      <c r="FB1" s="788" t="s">
        <v>816</v>
      </c>
      <c r="FC1" s="788"/>
      <c r="FD1" s="763" t="s">
        <v>1597</v>
      </c>
      <c r="FE1" s="763"/>
      <c r="FF1" s="787" t="s">
        <v>1782</v>
      </c>
      <c r="FG1" s="787"/>
      <c r="FH1" s="788" t="s">
        <v>816</v>
      </c>
      <c r="FI1" s="788"/>
      <c r="FJ1" s="763" t="s">
        <v>1391</v>
      </c>
      <c r="FK1" s="763"/>
      <c r="FL1" s="787" t="s">
        <v>1817</v>
      </c>
      <c r="FM1" s="787"/>
      <c r="FN1" s="788" t="s">
        <v>816</v>
      </c>
      <c r="FO1" s="788"/>
      <c r="FP1" s="763" t="s">
        <v>1864</v>
      </c>
      <c r="FQ1" s="763"/>
      <c r="FR1" s="787" t="s">
        <v>1853</v>
      </c>
      <c r="FS1" s="787"/>
      <c r="FT1" s="788" t="s">
        <v>816</v>
      </c>
      <c r="FU1" s="788"/>
      <c r="FV1" s="763" t="s">
        <v>1864</v>
      </c>
      <c r="FW1" s="763"/>
      <c r="FX1" s="787" t="s">
        <v>1997</v>
      </c>
      <c r="FY1" s="787"/>
      <c r="FZ1" s="788" t="s">
        <v>816</v>
      </c>
      <c r="GA1" s="788"/>
      <c r="GB1" s="763" t="s">
        <v>1616</v>
      </c>
      <c r="GC1" s="763"/>
      <c r="GD1" s="787" t="s">
        <v>1998</v>
      </c>
      <c r="GE1" s="787"/>
      <c r="GF1" s="788" t="s">
        <v>816</v>
      </c>
      <c r="GG1" s="788"/>
      <c r="GH1" s="763" t="s">
        <v>1590</v>
      </c>
      <c r="GI1" s="763"/>
      <c r="GJ1" s="787" t="s">
        <v>2007</v>
      </c>
      <c r="GK1" s="787"/>
      <c r="GL1" s="788" t="s">
        <v>816</v>
      </c>
      <c r="GM1" s="788"/>
      <c r="GN1" s="763" t="s">
        <v>1590</v>
      </c>
      <c r="GO1" s="763"/>
      <c r="GP1" s="787" t="s">
        <v>2049</v>
      </c>
      <c r="GQ1" s="787"/>
      <c r="GR1" s="788" t="s">
        <v>816</v>
      </c>
      <c r="GS1" s="788"/>
      <c r="GT1" s="763" t="s">
        <v>1675</v>
      </c>
      <c r="GU1" s="763"/>
      <c r="GV1" s="787" t="s">
        <v>2083</v>
      </c>
      <c r="GW1" s="787"/>
      <c r="GX1" s="788" t="s">
        <v>816</v>
      </c>
      <c r="GY1" s="788"/>
      <c r="GZ1" s="763" t="s">
        <v>2122</v>
      </c>
      <c r="HA1" s="763"/>
      <c r="HB1" s="787" t="s">
        <v>2142</v>
      </c>
      <c r="HC1" s="787"/>
      <c r="HD1" s="788" t="s">
        <v>816</v>
      </c>
      <c r="HE1" s="788"/>
      <c r="HF1" s="763" t="s">
        <v>1715</v>
      </c>
      <c r="HG1" s="763"/>
      <c r="HH1" s="787" t="s">
        <v>2155</v>
      </c>
      <c r="HI1" s="787"/>
      <c r="HJ1" s="788" t="s">
        <v>816</v>
      </c>
      <c r="HK1" s="788"/>
      <c r="HL1" s="763" t="s">
        <v>1391</v>
      </c>
      <c r="HM1" s="763"/>
      <c r="HN1" s="787" t="s">
        <v>2201</v>
      </c>
      <c r="HO1" s="787"/>
      <c r="HP1" s="788" t="s">
        <v>816</v>
      </c>
      <c r="HQ1" s="788"/>
      <c r="HR1" s="763" t="s">
        <v>1391</v>
      </c>
      <c r="HS1" s="763"/>
      <c r="HT1" s="787" t="s">
        <v>2243</v>
      </c>
      <c r="HU1" s="787"/>
      <c r="HV1" s="788" t="s">
        <v>816</v>
      </c>
      <c r="HW1" s="788"/>
      <c r="HX1" s="763" t="s">
        <v>1616</v>
      </c>
      <c r="HY1" s="763"/>
      <c r="HZ1" s="787" t="s">
        <v>2300</v>
      </c>
      <c r="IA1" s="787"/>
      <c r="IB1" s="788" t="s">
        <v>816</v>
      </c>
      <c r="IC1" s="788"/>
      <c r="ID1" s="763" t="s">
        <v>1715</v>
      </c>
      <c r="IE1" s="763"/>
      <c r="IF1" s="787" t="s">
        <v>2367</v>
      </c>
      <c r="IG1" s="787"/>
      <c r="IH1" s="788" t="s">
        <v>816</v>
      </c>
      <c r="II1" s="788"/>
      <c r="IJ1" s="763" t="s">
        <v>1590</v>
      </c>
      <c r="IK1" s="763"/>
      <c r="IL1" s="787" t="s">
        <v>2443</v>
      </c>
      <c r="IM1" s="787"/>
      <c r="IN1" s="788" t="s">
        <v>816</v>
      </c>
      <c r="IO1" s="788"/>
      <c r="IP1" s="763" t="s">
        <v>1616</v>
      </c>
      <c r="IQ1" s="763"/>
      <c r="IR1" s="787" t="s">
        <v>2665</v>
      </c>
      <c r="IS1" s="787"/>
      <c r="IT1" s="788" t="s">
        <v>816</v>
      </c>
      <c r="IU1" s="788"/>
      <c r="IV1" s="763" t="s">
        <v>1748</v>
      </c>
      <c r="IW1" s="763"/>
      <c r="IX1" s="787" t="s">
        <v>2664</v>
      </c>
      <c r="IY1" s="787"/>
      <c r="IZ1" s="788" t="s">
        <v>816</v>
      </c>
      <c r="JA1" s="788"/>
      <c r="JB1" s="763" t="s">
        <v>1864</v>
      </c>
      <c r="JC1" s="763"/>
      <c r="JD1" s="787" t="s">
        <v>2714</v>
      </c>
      <c r="JE1" s="787"/>
      <c r="JF1" s="788" t="s">
        <v>816</v>
      </c>
      <c r="JG1" s="788"/>
      <c r="JH1" s="763" t="s">
        <v>1748</v>
      </c>
      <c r="JI1" s="763"/>
      <c r="JJ1" s="787" t="s">
        <v>2778</v>
      </c>
      <c r="JK1" s="787"/>
      <c r="JL1" s="722" t="s">
        <v>816</v>
      </c>
      <c r="JM1" s="722"/>
      <c r="JN1" s="719" t="s">
        <v>1748</v>
      </c>
      <c r="JO1" s="719"/>
      <c r="JP1" s="721" t="s">
        <v>2667</v>
      </c>
      <c r="JQ1" s="721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20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0" t="s">
        <v>1911</v>
      </c>
      <c r="JE2" s="363">
        <f>SUM(JE3:JE25)</f>
        <v>410070</v>
      </c>
      <c r="JF2" s="669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9" t="s">
        <v>1911</v>
      </c>
      <c r="JK2" s="363">
        <f>SUM(JK3:JK28)</f>
        <v>260884.1</v>
      </c>
      <c r="JL2" s="720" t="s">
        <v>295</v>
      </c>
      <c r="JM2" s="492">
        <f>SUM(JM4:JM26)</f>
        <v>16547.670999999998</v>
      </c>
      <c r="JN2" s="334" t="s">
        <v>296</v>
      </c>
      <c r="JO2" s="273">
        <f>JM2+JK2-JQ2</f>
        <v>118727.12100000001</v>
      </c>
      <c r="JP2" s="720" t="s">
        <v>1911</v>
      </c>
      <c r="JQ2" s="363">
        <f>SUM(JQ3:JQ33)</f>
        <v>158704.65</v>
      </c>
      <c r="JR2" s="609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60"/>
      <c r="JA3" s="492"/>
      <c r="JB3" s="620" t="s">
        <v>2397</v>
      </c>
      <c r="JC3" s="273">
        <f>JC2-JA36-JA35</f>
        <v>5095.8330000000415</v>
      </c>
      <c r="JD3" s="620" t="s">
        <v>2345</v>
      </c>
      <c r="JE3" s="268">
        <f>$IA$6</f>
        <v>-140000</v>
      </c>
      <c r="JG3" s="492"/>
      <c r="JH3" s="669" t="s">
        <v>2397</v>
      </c>
      <c r="JI3" s="273">
        <f>JI2-JG29-JG28</f>
        <v>5318.7558739726137</v>
      </c>
      <c r="JJ3" s="669" t="s">
        <v>2345</v>
      </c>
      <c r="JK3" s="268">
        <f>$IA$6</f>
        <v>-140000</v>
      </c>
      <c r="JM3" s="492"/>
      <c r="JN3" s="720" t="s">
        <v>2397</v>
      </c>
      <c r="JO3" s="273">
        <f>JO2-JM29-JM28</f>
        <v>2048.4985000000261</v>
      </c>
      <c r="JP3" s="720" t="s">
        <v>2345</v>
      </c>
      <c r="JQ3" s="268">
        <f>$IA$6</f>
        <v>-140000</v>
      </c>
      <c r="JR3" s="610"/>
    </row>
    <row r="4" spans="1:280" ht="12.75" customHeight="1" thickBot="1" x14ac:dyDescent="0.25">
      <c r="A4" s="747" t="s">
        <v>991</v>
      </c>
      <c r="B4" s="747"/>
      <c r="E4" s="170" t="s">
        <v>233</v>
      </c>
      <c r="F4" s="174">
        <f>F3-F5</f>
        <v>17</v>
      </c>
      <c r="G4" s="747" t="s">
        <v>991</v>
      </c>
      <c r="H4" s="74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1" t="s">
        <v>2669</v>
      </c>
      <c r="IU4" s="541">
        <v>-1437.02</v>
      </c>
      <c r="IV4" s="676" t="s">
        <v>2449</v>
      </c>
      <c r="IW4" s="273">
        <f>IW3-IU25</f>
        <v>2897.9403333332971</v>
      </c>
      <c r="IX4" s="613" t="s">
        <v>2612</v>
      </c>
      <c r="IY4" s="614">
        <v>0.13300000000000001</v>
      </c>
      <c r="IZ4" s="620" t="s">
        <v>633</v>
      </c>
      <c r="JA4" s="541">
        <v>30921.3</v>
      </c>
      <c r="JB4" s="676" t="s">
        <v>2449</v>
      </c>
      <c r="JC4" s="273">
        <f>JC3-JA37</f>
        <v>3741.5130000000418</v>
      </c>
      <c r="JD4" s="745" t="s">
        <v>2830</v>
      </c>
      <c r="JE4" s="268">
        <f>-140000-71000</f>
        <v>-211000</v>
      </c>
      <c r="JF4" s="669" t="s">
        <v>633</v>
      </c>
      <c r="JG4" s="541">
        <v>17271.3</v>
      </c>
      <c r="JH4" s="669" t="s">
        <v>1203</v>
      </c>
      <c r="JI4" s="286">
        <f>JI2-JI5</f>
        <v>-0.59412602736847475</v>
      </c>
      <c r="JJ4" s="745" t="s">
        <v>2830</v>
      </c>
      <c r="JK4" s="268">
        <v>-71000</v>
      </c>
      <c r="JL4" s="720" t="s">
        <v>633</v>
      </c>
      <c r="JM4" s="541">
        <v>17271.3</v>
      </c>
      <c r="JN4" s="720" t="s">
        <v>1203</v>
      </c>
      <c r="JO4" s="286">
        <f>JO2-JO5</f>
        <v>-0.27899999996589031</v>
      </c>
      <c r="JP4" s="720" t="s">
        <v>2830</v>
      </c>
      <c r="JQ4" s="268">
        <f>-71000-140000</f>
        <v>-211000</v>
      </c>
      <c r="JR4" s="610"/>
    </row>
    <row r="5" spans="1:280" x14ac:dyDescent="0.2">
      <c r="A5" s="747"/>
      <c r="B5" s="747"/>
      <c r="E5" s="170" t="s">
        <v>352</v>
      </c>
      <c r="F5" s="174">
        <f>SUM(F15:F56)</f>
        <v>12750</v>
      </c>
      <c r="G5" s="747"/>
      <c r="H5" s="747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0" t="s">
        <v>2608</v>
      </c>
      <c r="IU5" s="492">
        <f>-11-12-13</f>
        <v>-36</v>
      </c>
      <c r="IV5" s="572" t="s">
        <v>1203</v>
      </c>
      <c r="IW5" s="286">
        <f>IW2-IW6</f>
        <v>0.48699999996097176</v>
      </c>
      <c r="IX5" s="664" t="s">
        <v>2685</v>
      </c>
      <c r="IY5" s="272">
        <v>-75000</v>
      </c>
      <c r="IZ5" s="620" t="s">
        <v>2669</v>
      </c>
      <c r="JA5" s="541">
        <v>-71</v>
      </c>
      <c r="JB5" s="620" t="s">
        <v>1203</v>
      </c>
      <c r="JC5" s="286">
        <f>JC2-JC6</f>
        <v>-3.9079999999557913</v>
      </c>
      <c r="JD5" s="623" t="s">
        <v>2685</v>
      </c>
      <c r="JE5" s="272">
        <v>-75000</v>
      </c>
      <c r="JF5" s="669" t="s">
        <v>2669</v>
      </c>
      <c r="JG5" s="541">
        <v>-5.95</v>
      </c>
      <c r="JH5" s="669" t="s">
        <v>352</v>
      </c>
      <c r="JI5" s="273">
        <f>SUM(JI6:JI45)</f>
        <v>166095.25412602737</v>
      </c>
      <c r="JJ5" s="672" t="s">
        <v>2685</v>
      </c>
      <c r="JK5" s="272">
        <v>-75000</v>
      </c>
      <c r="JL5" s="720" t="s">
        <v>2669</v>
      </c>
      <c r="JM5" s="541"/>
      <c r="JN5" s="720" t="s">
        <v>352</v>
      </c>
      <c r="JO5" s="273">
        <f>SUM(JO6:JO52)</f>
        <v>118727.39999999998</v>
      </c>
      <c r="JP5" s="726" t="s">
        <v>2685</v>
      </c>
      <c r="JQ5" s="442">
        <f>-75000</f>
        <v>-75000</v>
      </c>
      <c r="JR5" s="610">
        <v>45048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2686</v>
      </c>
      <c r="IU6" s="492">
        <v>-30</v>
      </c>
      <c r="IV6" s="572" t="s">
        <v>352</v>
      </c>
      <c r="IW6" s="273">
        <f>SUM(IW7:IW40)</f>
        <v>11439.500000000004</v>
      </c>
      <c r="IX6" s="665" t="s">
        <v>2684</v>
      </c>
      <c r="IY6" s="268">
        <v>-4000</v>
      </c>
      <c r="IZ6" s="620" t="s">
        <v>2608</v>
      </c>
      <c r="JA6" s="492">
        <f>-1300</f>
        <v>-1300</v>
      </c>
      <c r="JB6" s="620" t="s">
        <v>352</v>
      </c>
      <c r="JC6" s="273">
        <f>SUM(JC7:JC47)</f>
        <v>11142.751999999997</v>
      </c>
      <c r="JD6" s="624" t="s">
        <v>2684</v>
      </c>
      <c r="JE6" s="268">
        <v>-4000</v>
      </c>
      <c r="JF6" s="669" t="s">
        <v>2608</v>
      </c>
      <c r="JG6" s="492">
        <v>-1401</v>
      </c>
      <c r="JH6" s="192" t="s">
        <v>2742</v>
      </c>
      <c r="JI6" s="582">
        <v>2000.06</v>
      </c>
      <c r="JJ6" s="673" t="s">
        <v>2684</v>
      </c>
      <c r="JK6" s="268">
        <v>-4000</v>
      </c>
      <c r="JL6" s="720" t="s">
        <v>2608</v>
      </c>
      <c r="JM6" s="492">
        <v>-1400</v>
      </c>
      <c r="JN6" s="192" t="s">
        <v>2806</v>
      </c>
      <c r="JO6" s="582">
        <v>1000.07</v>
      </c>
      <c r="JP6" s="727" t="s">
        <v>2684</v>
      </c>
      <c r="JQ6" s="268">
        <v>-4000</v>
      </c>
      <c r="JR6" s="610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2601</v>
      </c>
      <c r="IU7" s="492">
        <v>100</v>
      </c>
      <c r="IV7" s="351" t="s">
        <v>2459</v>
      </c>
      <c r="IW7" s="61">
        <v>11</v>
      </c>
      <c r="IX7" s="254" t="s">
        <v>2610</v>
      </c>
      <c r="IY7" s="2">
        <f>100*(120+1000+330+310)</f>
        <v>176000</v>
      </c>
      <c r="IZ7" s="660" t="s">
        <v>2686</v>
      </c>
      <c r="JA7" s="492">
        <v>-30</v>
      </c>
      <c r="JB7" s="192" t="s">
        <v>1002</v>
      </c>
      <c r="JC7" s="61">
        <v>1900.03</v>
      </c>
      <c r="JD7" s="254" t="s">
        <v>2610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2610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2610</v>
      </c>
      <c r="JQ7" s="2">
        <f>100*(330+310)</f>
        <v>64000</v>
      </c>
      <c r="JR7" s="610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7" t="s">
        <v>2598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5"/>
      <c r="JA8" s="492"/>
      <c r="JB8" s="389" t="s">
        <v>2694</v>
      </c>
      <c r="JC8" s="61">
        <v>300.27999999999997</v>
      </c>
      <c r="JD8" s="620" t="s">
        <v>2424</v>
      </c>
      <c r="JE8" s="268">
        <v>590000</v>
      </c>
      <c r="JF8" s="669" t="s">
        <v>2530</v>
      </c>
      <c r="JG8" s="492"/>
      <c r="JH8" s="389" t="s">
        <v>2760</v>
      </c>
      <c r="JI8" s="61">
        <v>327.74</v>
      </c>
      <c r="JJ8" s="669" t="s">
        <v>2424</v>
      </c>
      <c r="JK8" s="268">
        <v>0</v>
      </c>
      <c r="JL8" s="720" t="s">
        <v>2530</v>
      </c>
      <c r="JM8" s="492"/>
      <c r="JN8" s="389" t="s">
        <v>2807</v>
      </c>
      <c r="JO8" s="61">
        <v>48.69</v>
      </c>
      <c r="JP8" s="720" t="s">
        <v>2828</v>
      </c>
      <c r="JQ8" s="268">
        <v>500000</v>
      </c>
      <c r="JR8" s="609">
        <v>45048</v>
      </c>
      <c r="JS8" s="582" t="s">
        <v>2829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2597</v>
      </c>
      <c r="IW9" s="61">
        <v>2000</v>
      </c>
      <c r="IX9" s="320" t="s">
        <v>2467</v>
      </c>
      <c r="IY9" s="583">
        <v>-49.87</v>
      </c>
      <c r="IZ9" s="667" t="s">
        <v>2705</v>
      </c>
      <c r="JA9" s="492">
        <f>544.23-533.02</f>
        <v>11.210000000000036</v>
      </c>
      <c r="JB9" s="389" t="s">
        <v>2719</v>
      </c>
      <c r="JC9" s="61">
        <v>600</v>
      </c>
      <c r="JD9" s="320" t="s">
        <v>2467</v>
      </c>
      <c r="JE9" s="583">
        <v>0</v>
      </c>
      <c r="JF9" s="612" t="s">
        <v>2781</v>
      </c>
      <c r="JH9" s="346" t="s">
        <v>2768</v>
      </c>
      <c r="JI9" s="61">
        <v>1954.8</v>
      </c>
      <c r="JJ9" s="320" t="s">
        <v>2467</v>
      </c>
      <c r="JK9" s="583">
        <v>-54</v>
      </c>
      <c r="JL9" s="612" t="s">
        <v>2787</v>
      </c>
      <c r="JM9" s="720">
        <v>2.5</v>
      </c>
      <c r="JN9" s="389" t="s">
        <v>2791</v>
      </c>
      <c r="JO9" s="61">
        <v>127.14</v>
      </c>
      <c r="JP9" s="320" t="s">
        <v>2467</v>
      </c>
      <c r="JQ9" s="583">
        <v>31</v>
      </c>
      <c r="JR9" s="609">
        <v>45048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2680</v>
      </c>
      <c r="IW10" s="532">
        <v>2000</v>
      </c>
      <c r="IX10" s="576" t="s">
        <v>1630</v>
      </c>
      <c r="IY10" s="582">
        <v>-997</v>
      </c>
      <c r="JA10" s="492"/>
      <c r="JB10" s="389" t="s">
        <v>2720</v>
      </c>
      <c r="JC10" s="532">
        <v>454.04</v>
      </c>
      <c r="JD10" s="623" t="s">
        <v>1630</v>
      </c>
      <c r="JE10" s="583">
        <v>-260</v>
      </c>
      <c r="JH10" s="346" t="s">
        <v>2017</v>
      </c>
      <c r="JI10" s="61">
        <v>58.77</v>
      </c>
      <c r="JJ10" s="672" t="s">
        <v>1630</v>
      </c>
      <c r="JK10" s="321">
        <v>-540</v>
      </c>
      <c r="JN10" s="346" t="s">
        <v>2779</v>
      </c>
      <c r="JO10" s="61"/>
      <c r="JP10" s="726" t="s">
        <v>1630</v>
      </c>
      <c r="JQ10" s="321">
        <v>-140</v>
      </c>
      <c r="JR10" s="610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2546</v>
      </c>
      <c r="IQ11" s="61">
        <f>406.6+487.92</f>
        <v>894.52</v>
      </c>
      <c r="IR11" s="66" t="s">
        <v>1505</v>
      </c>
      <c r="IS11" s="268">
        <v>364</v>
      </c>
      <c r="IT11" s="572" t="s">
        <v>2607</v>
      </c>
      <c r="IU11" s="492">
        <v>15.03</v>
      </c>
      <c r="IV11" s="389" t="s">
        <v>2602</v>
      </c>
      <c r="IW11" s="532">
        <v>135.25</v>
      </c>
      <c r="IX11" s="574" t="s">
        <v>1838</v>
      </c>
      <c r="IY11" s="496">
        <v>2600</v>
      </c>
      <c r="IZ11" s="620" t="s">
        <v>2530</v>
      </c>
      <c r="JA11" s="492"/>
      <c r="JB11" s="346" t="s">
        <v>2695</v>
      </c>
      <c r="JC11" s="61">
        <f>259.2+410.4</f>
        <v>669.59999999999991</v>
      </c>
      <c r="JD11" s="621" t="s">
        <v>1838</v>
      </c>
      <c r="JE11" s="517">
        <v>2600</v>
      </c>
      <c r="JF11" s="669" t="s">
        <v>2412</v>
      </c>
      <c r="JG11" s="514"/>
      <c r="JH11" s="346" t="s">
        <v>2695</v>
      </c>
      <c r="JI11" s="533">
        <f>410.4+259.2</f>
        <v>669.59999999999991</v>
      </c>
      <c r="JJ11" s="670" t="s">
        <v>1838</v>
      </c>
      <c r="JK11" s="268">
        <v>2600</v>
      </c>
      <c r="JL11" s="720" t="s">
        <v>2412</v>
      </c>
      <c r="JM11" s="514"/>
      <c r="JN11" s="346" t="s">
        <v>2779</v>
      </c>
      <c r="JO11" s="61"/>
      <c r="JP11" s="724" t="s">
        <v>2831</v>
      </c>
      <c r="JQ11" s="268">
        <v>2600</v>
      </c>
      <c r="JR11" s="609">
        <v>45048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2626</v>
      </c>
      <c r="IU12" s="572">
        <v>25.58</v>
      </c>
      <c r="IV12" s="389" t="s">
        <v>2573</v>
      </c>
      <c r="IW12" s="532">
        <v>378.81</v>
      </c>
      <c r="IX12" s="575" t="s">
        <v>1505</v>
      </c>
      <c r="IY12" s="268">
        <v>983</v>
      </c>
      <c r="IZ12" s="620" t="s">
        <v>2668</v>
      </c>
      <c r="JA12" s="620">
        <v>30</v>
      </c>
      <c r="JB12" s="346" t="s">
        <v>2628</v>
      </c>
      <c r="JC12" s="533">
        <v>52.89</v>
      </c>
      <c r="JD12" s="624" t="s">
        <v>1505</v>
      </c>
      <c r="JE12" s="268">
        <v>635</v>
      </c>
      <c r="JF12" s="669" t="s">
        <v>2164</v>
      </c>
      <c r="JG12" s="514">
        <f>72.14+1.23</f>
        <v>73.37</v>
      </c>
      <c r="JH12" s="245" t="s">
        <v>2761</v>
      </c>
      <c r="JI12" s="729">
        <f>2.88%/365*(20*140000+21*140220)</f>
        <v>453.27412602739724</v>
      </c>
      <c r="JJ12" s="673" t="s">
        <v>1505</v>
      </c>
      <c r="JK12" s="268">
        <v>966</v>
      </c>
      <c r="JL12" s="720" t="s">
        <v>2164</v>
      </c>
      <c r="JM12" s="735"/>
      <c r="JN12" s="245" t="s">
        <v>2784</v>
      </c>
      <c r="JO12" s="649"/>
      <c r="JP12" s="727" t="s">
        <v>2832</v>
      </c>
      <c r="JQ12" s="268">
        <v>1065</v>
      </c>
      <c r="JR12" s="609">
        <v>45048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2547</v>
      </c>
      <c r="IS13" s="2">
        <v>142</v>
      </c>
      <c r="IV13" s="346" t="s">
        <v>2599</v>
      </c>
      <c r="IW13" s="533">
        <v>170</v>
      </c>
      <c r="IX13" s="575" t="s">
        <v>1506</v>
      </c>
      <c r="IY13" s="268">
        <v>618</v>
      </c>
      <c r="JB13" s="666" t="s">
        <v>2704</v>
      </c>
      <c r="JC13" s="533">
        <f>80-40</f>
        <v>40</v>
      </c>
      <c r="JD13" s="624" t="s">
        <v>1506</v>
      </c>
      <c r="JE13" s="268">
        <v>1778</v>
      </c>
      <c r="JF13" s="669" t="s">
        <v>2814</v>
      </c>
      <c r="JG13" s="492">
        <v>22.41</v>
      </c>
      <c r="JH13" s="245" t="s">
        <v>2783</v>
      </c>
      <c r="JI13" s="729"/>
      <c r="JJ13" s="673" t="s">
        <v>1506</v>
      </c>
      <c r="JK13" s="268">
        <v>1556</v>
      </c>
      <c r="JL13" s="9" t="s">
        <v>2690</v>
      </c>
      <c r="JM13" s="736"/>
      <c r="JN13" s="245" t="s">
        <v>2786</v>
      </c>
      <c r="JO13" s="492">
        <v>1396.9</v>
      </c>
      <c r="JP13" s="727" t="s">
        <v>2833</v>
      </c>
      <c r="JQ13" s="268">
        <v>631</v>
      </c>
      <c r="JR13" s="609">
        <v>45048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57" t="s">
        <v>2186</v>
      </c>
      <c r="HK14" s="75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2609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2624</v>
      </c>
      <c r="IW14" s="2">
        <f>IW15*2</f>
        <v>2116.9666666666667</v>
      </c>
      <c r="IX14" s="575" t="s">
        <v>2550</v>
      </c>
      <c r="IY14" s="268">
        <v>24</v>
      </c>
      <c r="IZ14" s="620" t="s">
        <v>2412</v>
      </c>
      <c r="JA14" s="514"/>
      <c r="JB14" s="245" t="s">
        <v>2703</v>
      </c>
      <c r="JC14" s="649">
        <v>26.001000000000001</v>
      </c>
      <c r="JD14" s="624" t="s">
        <v>2701</v>
      </c>
      <c r="JE14" s="268">
        <v>89</v>
      </c>
      <c r="JF14" s="710" t="s">
        <v>2766</v>
      </c>
      <c r="JG14" s="492">
        <v>118.15</v>
      </c>
      <c r="JH14" s="245" t="s">
        <v>2785</v>
      </c>
      <c r="JI14" s="492">
        <v>1422.53</v>
      </c>
      <c r="JJ14" s="673" t="s">
        <v>2701</v>
      </c>
      <c r="JK14" s="268">
        <v>4000</v>
      </c>
      <c r="JL14" s="720" t="s">
        <v>1799</v>
      </c>
      <c r="JM14" s="61"/>
      <c r="JN14" s="245" t="s">
        <v>2762</v>
      </c>
      <c r="JO14" s="649">
        <v>110000</v>
      </c>
      <c r="JP14" s="727" t="s">
        <v>2834</v>
      </c>
      <c r="JQ14" s="268">
        <v>3251</v>
      </c>
      <c r="JR14" s="609">
        <v>45048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1" t="s">
        <v>1504</v>
      </c>
      <c r="DP15" s="79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2606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20" t="s">
        <v>2164</v>
      </c>
      <c r="JA15" s="514">
        <v>52.000999999999998</v>
      </c>
      <c r="JB15" s="245" t="s">
        <v>1835</v>
      </c>
      <c r="JC15" s="649">
        <v>2000</v>
      </c>
      <c r="JD15" s="490" t="s">
        <v>2468</v>
      </c>
      <c r="JE15" s="268">
        <v>65005</v>
      </c>
      <c r="JF15" s="669" t="s">
        <v>2711</v>
      </c>
      <c r="JG15" s="669">
        <f>6.24+2.24</f>
        <v>8.48</v>
      </c>
      <c r="JH15" s="245" t="s">
        <v>2762</v>
      </c>
      <c r="JI15" s="649">
        <v>155000</v>
      </c>
      <c r="JJ15" s="687" t="s">
        <v>2743</v>
      </c>
      <c r="JK15" s="268">
        <f>25000.29+90000.29+140000.29+10000</f>
        <v>265000.87</v>
      </c>
      <c r="JL15" s="720" t="s">
        <v>2600</v>
      </c>
      <c r="JM15" s="736"/>
      <c r="JN15" s="245" t="s">
        <v>2624</v>
      </c>
      <c r="JO15" s="52">
        <f>JO16*3</f>
        <v>2381.6025</v>
      </c>
      <c r="JP15" s="727" t="s">
        <v>2743</v>
      </c>
      <c r="JQ15" s="268">
        <v>10000</v>
      </c>
      <c r="JR15" s="609">
        <v>45048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2690</v>
      </c>
      <c r="IU16" s="492">
        <v>7.57</v>
      </c>
      <c r="IV16" s="345" t="s">
        <v>2556</v>
      </c>
      <c r="IW16" s="61">
        <v>47.54</v>
      </c>
      <c r="IX16" s="575" t="s">
        <v>2548</v>
      </c>
      <c r="IY16" s="608">
        <v>4175</v>
      </c>
      <c r="IZ16" s="9" t="s">
        <v>2690</v>
      </c>
      <c r="JA16" s="677" t="s">
        <v>686</v>
      </c>
      <c r="JB16" s="245" t="s">
        <v>2624</v>
      </c>
      <c r="JC16" s="52">
        <f>JC17*2</f>
        <v>2116.98</v>
      </c>
      <c r="JD16" s="624" t="s">
        <v>2702</v>
      </c>
      <c r="JE16" s="608">
        <v>3083</v>
      </c>
      <c r="JF16" s="401" t="s">
        <v>2745</v>
      </c>
      <c r="JG16" s="510">
        <v>379.39</v>
      </c>
      <c r="JH16" s="345" t="s">
        <v>2774</v>
      </c>
      <c r="JI16" s="61" t="s">
        <v>657</v>
      </c>
      <c r="JJ16" s="673" t="s">
        <v>2702</v>
      </c>
      <c r="JK16" s="268">
        <v>99936</v>
      </c>
      <c r="JL16" s="720" t="s">
        <v>2818</v>
      </c>
      <c r="JM16" s="736">
        <v>7.0010000000000003</v>
      </c>
      <c r="JN16" s="345" t="s">
        <v>2774</v>
      </c>
      <c r="JO16" s="52">
        <f>3175.47/4</f>
        <v>793.86749999999995</v>
      </c>
      <c r="JP16" s="727" t="s">
        <v>2702</v>
      </c>
      <c r="JQ16" s="608">
        <v>5738</v>
      </c>
      <c r="JR16" s="609">
        <v>45048</v>
      </c>
      <c r="JS16" s="268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1" t="s">
        <v>1799</v>
      </c>
      <c r="IU17" s="572">
        <v>13.86</v>
      </c>
      <c r="IV17" s="345" t="s">
        <v>2176</v>
      </c>
      <c r="IW17" s="572">
        <f>30+59.31</f>
        <v>89.31</v>
      </c>
      <c r="IX17" s="619" t="s">
        <v>2625</v>
      </c>
      <c r="IY17" s="268">
        <v>10</v>
      </c>
      <c r="IZ17" s="661" t="s">
        <v>1799</v>
      </c>
      <c r="JA17" s="202" t="s">
        <v>686</v>
      </c>
      <c r="JB17" s="345" t="s">
        <v>2540</v>
      </c>
      <c r="JC17" s="52">
        <f>3175.47/3</f>
        <v>1058.49</v>
      </c>
      <c r="JD17" s="647" t="s">
        <v>2681</v>
      </c>
      <c r="JE17" s="268">
        <v>0</v>
      </c>
      <c r="JF17" s="401" t="s">
        <v>2746</v>
      </c>
      <c r="JG17" s="669">
        <v>442.61</v>
      </c>
      <c r="JH17" s="345" t="s">
        <v>2697</v>
      </c>
      <c r="JI17" s="61">
        <v>59.36</v>
      </c>
      <c r="JJ17" s="673" t="s">
        <v>2681</v>
      </c>
      <c r="JK17" s="268">
        <v>0</v>
      </c>
      <c r="JL17" s="720" t="s">
        <v>2711</v>
      </c>
      <c r="JM17" s="61">
        <f>25.72+1.96</f>
        <v>27.68</v>
      </c>
      <c r="JN17" s="345" t="s">
        <v>2556</v>
      </c>
      <c r="JO17" s="61">
        <v>53.91</v>
      </c>
      <c r="JP17" s="254" t="s">
        <v>2835</v>
      </c>
      <c r="JQ17" s="608"/>
      <c r="JR17" s="609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3" t="s">
        <v>2814</v>
      </c>
      <c r="IU18" s="492">
        <v>14</v>
      </c>
      <c r="IV18" s="345" t="s">
        <v>2629</v>
      </c>
      <c r="IW18" s="534">
        <v>110.02</v>
      </c>
      <c r="IX18" s="576" t="s">
        <v>2543</v>
      </c>
      <c r="IY18" s="572">
        <v>190</v>
      </c>
      <c r="IZ18" s="743" t="s">
        <v>2814</v>
      </c>
      <c r="JA18" s="492">
        <v>16.05</v>
      </c>
      <c r="JB18" s="345" t="s">
        <v>2620</v>
      </c>
      <c r="JC18" s="61">
        <v>110.79</v>
      </c>
      <c r="JD18" s="624" t="s">
        <v>2696</v>
      </c>
      <c r="JE18" s="268">
        <v>10</v>
      </c>
      <c r="JF18" s="401"/>
      <c r="JG18" s="510"/>
      <c r="JH18" s="345" t="s">
        <v>2718</v>
      </c>
      <c r="JI18" s="61">
        <v>30</v>
      </c>
      <c r="JJ18" s="727" t="s">
        <v>2782</v>
      </c>
      <c r="JK18" s="583">
        <v>44.23</v>
      </c>
      <c r="JL18" s="401" t="s">
        <v>2820</v>
      </c>
      <c r="JM18" s="510">
        <f>228.82+344.82+65.55</f>
        <v>639.18999999999994</v>
      </c>
      <c r="JN18" s="345" t="s">
        <v>2717</v>
      </c>
      <c r="JO18" s="61"/>
      <c r="JP18" s="727" t="s">
        <v>2836</v>
      </c>
      <c r="JQ18" s="268">
        <v>0</v>
      </c>
      <c r="JR18" s="609">
        <v>45049</v>
      </c>
      <c r="JS18" s="268"/>
      <c r="JT18" s="608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1" t="s">
        <v>1474</v>
      </c>
      <c r="DJ19" s="79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3" t="s">
        <v>2814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2636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8" t="s">
        <v>2711</v>
      </c>
      <c r="JA19" s="648">
        <f>5.9+2.12</f>
        <v>8.02</v>
      </c>
      <c r="JB19" s="345" t="s">
        <v>2717</v>
      </c>
      <c r="JC19" s="61">
        <v>109.57</v>
      </c>
      <c r="JD19" s="664" t="s">
        <v>2692</v>
      </c>
      <c r="JE19" s="620">
        <v>130</v>
      </c>
      <c r="JF19" s="689"/>
      <c r="JG19" s="689"/>
      <c r="JH19" s="345" t="s">
        <v>2627</v>
      </c>
      <c r="JI19" s="534">
        <v>115.37</v>
      </c>
      <c r="JJ19" s="673" t="s">
        <v>2696</v>
      </c>
      <c r="JK19" s="608">
        <v>10</v>
      </c>
      <c r="JL19" s="730"/>
      <c r="JM19" s="730"/>
      <c r="JN19" s="345" t="s">
        <v>2718</v>
      </c>
      <c r="JO19" s="61">
        <v>30</v>
      </c>
      <c r="JP19" s="727" t="s">
        <v>2696</v>
      </c>
      <c r="JQ19" s="268">
        <v>14</v>
      </c>
      <c r="JR19" s="609" t="s">
        <v>1182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7" t="s">
        <v>2770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2721</v>
      </c>
      <c r="JC20" s="61">
        <f>10+30</f>
        <v>40</v>
      </c>
      <c r="JD20" s="623" t="s">
        <v>2691</v>
      </c>
      <c r="JF20" s="401"/>
      <c r="JG20" s="510"/>
      <c r="JH20" s="345" t="s">
        <v>1195</v>
      </c>
      <c r="JI20" s="61">
        <f>6.5+15</f>
        <v>21.5</v>
      </c>
      <c r="JJ20" s="672" t="s">
        <v>2692</v>
      </c>
      <c r="JK20" s="669">
        <v>230</v>
      </c>
      <c r="JL20" s="401"/>
      <c r="JM20" s="510"/>
      <c r="JN20" s="345" t="s">
        <v>2793</v>
      </c>
      <c r="JO20" s="534" t="s">
        <v>2792</v>
      </c>
      <c r="JP20" s="726" t="s">
        <v>2692</v>
      </c>
      <c r="JQ20" s="720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6" t="s">
        <v>2769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2611</v>
      </c>
      <c r="IW21" s="61">
        <v>80</v>
      </c>
      <c r="IX21" s="577"/>
      <c r="IZ21" s="663"/>
      <c r="JA21" s="663"/>
      <c r="JB21" s="345" t="s">
        <v>2627</v>
      </c>
      <c r="JC21" s="534">
        <v>115.37</v>
      </c>
      <c r="JD21" s="625" t="s">
        <v>2454</v>
      </c>
      <c r="JE21" s="620">
        <v>1000</v>
      </c>
      <c r="JF21" s="401"/>
      <c r="JG21" s="510"/>
      <c r="JH21" s="345" t="s">
        <v>2752</v>
      </c>
      <c r="JI21" s="61">
        <v>27</v>
      </c>
      <c r="JJ21" s="672" t="s">
        <v>2691</v>
      </c>
      <c r="JL21" s="401"/>
      <c r="JM21" s="510"/>
      <c r="JN21" s="345" t="s">
        <v>1195</v>
      </c>
      <c r="JO21" s="61">
        <f>15+6.5</f>
        <v>21.5</v>
      </c>
      <c r="JP21" s="726" t="s">
        <v>2691</v>
      </c>
      <c r="JR21" s="609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07" t="s">
        <v>507</v>
      </c>
      <c r="N22" s="807"/>
      <c r="Q22" s="166" t="s">
        <v>365</v>
      </c>
      <c r="S22" s="807" t="s">
        <v>507</v>
      </c>
      <c r="T22" s="80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48" t="s">
        <v>2171</v>
      </c>
      <c r="IU22" s="748"/>
      <c r="IV22" s="337" t="s">
        <v>2603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2"/>
      <c r="JH22" s="345" t="s">
        <v>2188</v>
      </c>
      <c r="JI22" s="61">
        <f>9+14.32</f>
        <v>23.32</v>
      </c>
      <c r="JJ22" s="674" t="s">
        <v>2454</v>
      </c>
      <c r="JK22" s="669">
        <v>1000</v>
      </c>
      <c r="JN22" s="345" t="s">
        <v>2188</v>
      </c>
      <c r="JO22" s="61">
        <f>9</f>
        <v>9</v>
      </c>
      <c r="JP22" s="728" t="s">
        <v>2454</v>
      </c>
      <c r="JQ22" s="720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02" t="s">
        <v>990</v>
      </c>
      <c r="N23" s="802"/>
      <c r="Q23" s="166" t="s">
        <v>369</v>
      </c>
      <c r="S23" s="802" t="s">
        <v>990</v>
      </c>
      <c r="T23" s="802"/>
      <c r="W23" s="244" t="s">
        <v>1019</v>
      </c>
      <c r="X23" s="142">
        <v>0</v>
      </c>
      <c r="Y23" s="807" t="s">
        <v>507</v>
      </c>
      <c r="Z23" s="80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48" t="s">
        <v>2171</v>
      </c>
      <c r="HK23" s="748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48" t="s">
        <v>2171</v>
      </c>
      <c r="HW23" s="748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2618</v>
      </c>
      <c r="IW23" s="61">
        <v>45.98</v>
      </c>
      <c r="IX23" s="618"/>
      <c r="IY23" s="584"/>
      <c r="IZ23" s="401"/>
      <c r="JA23" s="510"/>
      <c r="JB23" s="345" t="s">
        <v>2188</v>
      </c>
      <c r="JC23" s="61">
        <f>9+14.32</f>
        <v>23.32</v>
      </c>
      <c r="JD23" s="622"/>
      <c r="JF23" s="401"/>
      <c r="JG23" s="510"/>
      <c r="JH23" s="709" t="s">
        <v>2753</v>
      </c>
      <c r="JI23" s="533">
        <v>4.05</v>
      </c>
      <c r="JJ23" s="671" t="s">
        <v>2472</v>
      </c>
      <c r="JL23" s="401"/>
      <c r="JM23" s="510"/>
      <c r="JN23" s="345" t="s">
        <v>2800</v>
      </c>
      <c r="JO23" s="61" t="s">
        <v>2025</v>
      </c>
      <c r="JP23" s="738" t="s">
        <v>2480</v>
      </c>
      <c r="JQ23" s="737"/>
      <c r="JR23" s="737"/>
    </row>
    <row r="24" spans="1:280" x14ac:dyDescent="0.2">
      <c r="A24" s="807" t="s">
        <v>507</v>
      </c>
      <c r="B24" s="807"/>
      <c r="E24" s="164" t="s">
        <v>237</v>
      </c>
      <c r="F24" s="166"/>
      <c r="G24" s="807" t="s">
        <v>507</v>
      </c>
      <c r="H24" s="807"/>
      <c r="K24" s="244" t="s">
        <v>1019</v>
      </c>
      <c r="L24" s="142">
        <v>0</v>
      </c>
      <c r="M24" s="770"/>
      <c r="N24" s="770"/>
      <c r="Q24" s="166" t="s">
        <v>1056</v>
      </c>
      <c r="S24" s="770"/>
      <c r="T24" s="770"/>
      <c r="W24" s="244" t="s">
        <v>1027</v>
      </c>
      <c r="X24" s="205">
        <v>0</v>
      </c>
      <c r="Y24" s="802" t="s">
        <v>990</v>
      </c>
      <c r="Z24" s="802"/>
      <c r="AC24"/>
      <c r="AE24" s="807" t="s">
        <v>507</v>
      </c>
      <c r="AF24" s="807"/>
      <c r="AI24"/>
      <c r="AK24" s="807" t="s">
        <v>507</v>
      </c>
      <c r="AL24" s="80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3" t="s">
        <v>1536</v>
      </c>
      <c r="EF24" s="79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2621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0"/>
      <c r="JF24" s="401"/>
      <c r="JG24" s="510"/>
      <c r="JH24" s="345" t="s">
        <v>2366</v>
      </c>
      <c r="JI24" s="61">
        <f>15.55+10+15.6+17.36+16.4+10+14.01+16.99+15.65</f>
        <v>131.56</v>
      </c>
      <c r="JJ24" s="671" t="s">
        <v>2423</v>
      </c>
      <c r="JL24" s="401"/>
      <c r="JM24" s="510"/>
      <c r="JN24" s="345" t="s">
        <v>2366</v>
      </c>
      <c r="JO24" s="61">
        <f>11.94+10+20.54+17.31</f>
        <v>59.789999999999992</v>
      </c>
      <c r="JP24" s="738" t="s">
        <v>2819</v>
      </c>
      <c r="JQ24" s="737">
        <v>14.8</v>
      </c>
      <c r="JR24" s="737"/>
    </row>
    <row r="25" spans="1:280" x14ac:dyDescent="0.2">
      <c r="A25" s="802" t="s">
        <v>990</v>
      </c>
      <c r="B25" s="802"/>
      <c r="E25" s="164" t="s">
        <v>139</v>
      </c>
      <c r="F25" s="166"/>
      <c r="G25" s="802" t="s">
        <v>990</v>
      </c>
      <c r="H25" s="802"/>
      <c r="K25" s="244" t="s">
        <v>1027</v>
      </c>
      <c r="L25" s="205">
        <v>0</v>
      </c>
      <c r="M25" s="770"/>
      <c r="N25" s="770"/>
      <c r="Q25" s="244" t="s">
        <v>1029</v>
      </c>
      <c r="R25" s="142">
        <v>0</v>
      </c>
      <c r="S25" s="770"/>
      <c r="T25" s="770"/>
      <c r="W25" s="244" t="s">
        <v>1050</v>
      </c>
      <c r="X25" s="142">
        <v>910.17</v>
      </c>
      <c r="Y25" s="770"/>
      <c r="Z25" s="770"/>
      <c r="AC25" s="248" t="s">
        <v>1083</v>
      </c>
      <c r="AD25" s="142">
        <v>90</v>
      </c>
      <c r="AE25" s="802" t="s">
        <v>990</v>
      </c>
      <c r="AF25" s="802"/>
      <c r="AI25" s="245" t="s">
        <v>1101</v>
      </c>
      <c r="AJ25" s="142">
        <v>30</v>
      </c>
      <c r="AK25" s="802" t="s">
        <v>990</v>
      </c>
      <c r="AL25" s="80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02"/>
      <c r="BH25" s="802"/>
      <c r="BK25" s="266" t="s">
        <v>1222</v>
      </c>
      <c r="BL25" s="205">
        <v>48.54</v>
      </c>
      <c r="BM25" s="802"/>
      <c r="BN25" s="802"/>
      <c r="BQ25" s="266" t="s">
        <v>1051</v>
      </c>
      <c r="BR25" s="205">
        <v>50.15</v>
      </c>
      <c r="BS25" s="802" t="s">
        <v>1245</v>
      </c>
      <c r="BT25" s="802"/>
      <c r="BW25" s="266" t="s">
        <v>1051</v>
      </c>
      <c r="BX25" s="205">
        <v>48.54</v>
      </c>
      <c r="BY25" s="802"/>
      <c r="BZ25" s="802"/>
      <c r="CC25" s="266" t="s">
        <v>1051</v>
      </c>
      <c r="CD25" s="205">
        <v>142.91</v>
      </c>
      <c r="CE25" s="802"/>
      <c r="CF25" s="802"/>
      <c r="CI25" s="266" t="s">
        <v>1312</v>
      </c>
      <c r="CJ25" s="205">
        <v>35.049999999999997</v>
      </c>
      <c r="CK25" s="770"/>
      <c r="CL25" s="770"/>
      <c r="CO25" s="266" t="s">
        <v>1286</v>
      </c>
      <c r="CP25" s="205">
        <v>153.41</v>
      </c>
      <c r="CQ25" s="770" t="s">
        <v>1327</v>
      </c>
      <c r="CR25" s="77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48" t="s">
        <v>2171</v>
      </c>
      <c r="IC25" s="748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2619</v>
      </c>
      <c r="IW25" s="61">
        <v>54.7</v>
      </c>
      <c r="IX25" s="504"/>
      <c r="IY25" s="585"/>
      <c r="IZ25" s="402"/>
      <c r="JA25" s="660"/>
      <c r="JB25" s="345" t="s">
        <v>2366</v>
      </c>
      <c r="JC25" s="61">
        <f>17.98+13.67+17.8+15.37+10+15+12.85</f>
        <v>102.67</v>
      </c>
      <c r="JD25" s="659"/>
      <c r="JE25" s="658"/>
      <c r="JF25" s="402"/>
      <c r="JH25" s="337" t="s">
        <v>2772</v>
      </c>
      <c r="JI25" s="61">
        <v>20</v>
      </c>
      <c r="JJ25" s="690" t="s">
        <v>2754</v>
      </c>
      <c r="JK25" s="689">
        <v>59.4</v>
      </c>
      <c r="JL25" s="402"/>
      <c r="JN25" s="337" t="s">
        <v>1863</v>
      </c>
      <c r="JO25" s="61"/>
      <c r="JP25" s="725" t="s">
        <v>2472</v>
      </c>
    </row>
    <row r="26" spans="1:280" x14ac:dyDescent="0.2">
      <c r="A26" s="770"/>
      <c r="B26" s="770"/>
      <c r="E26" s="198" t="s">
        <v>362</v>
      </c>
      <c r="F26" s="170"/>
      <c r="G26" s="770"/>
      <c r="H26" s="770"/>
      <c r="K26" s="244" t="s">
        <v>1018</v>
      </c>
      <c r="L26" s="142">
        <f>910+40</f>
        <v>950</v>
      </c>
      <c r="M26" s="770"/>
      <c r="N26" s="770"/>
      <c r="Q26" s="244" t="s">
        <v>1026</v>
      </c>
      <c r="R26" s="142">
        <v>0</v>
      </c>
      <c r="S26" s="770"/>
      <c r="T26" s="770"/>
      <c r="W26" s="143" t="s">
        <v>1085</v>
      </c>
      <c r="X26" s="142">
        <v>110.58</v>
      </c>
      <c r="Y26" s="770"/>
      <c r="Z26" s="770"/>
      <c r="AE26" s="770"/>
      <c r="AF26" s="770"/>
      <c r="AK26" s="770"/>
      <c r="AL26" s="77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0"/>
      <c r="AX26" s="770"/>
      <c r="AY26" s="143"/>
      <c r="AZ26" s="205"/>
      <c r="BA26" s="770"/>
      <c r="BB26" s="770"/>
      <c r="BE26" s="143" t="s">
        <v>1195</v>
      </c>
      <c r="BF26" s="205">
        <f>6.5*2</f>
        <v>13</v>
      </c>
      <c r="BG26" s="770"/>
      <c r="BH26" s="770"/>
      <c r="BK26" s="266" t="s">
        <v>1195</v>
      </c>
      <c r="BL26" s="205">
        <f>6.5*2</f>
        <v>13</v>
      </c>
      <c r="BM26" s="770"/>
      <c r="BN26" s="770"/>
      <c r="BQ26" s="266" t="s">
        <v>1195</v>
      </c>
      <c r="BR26" s="205">
        <v>13</v>
      </c>
      <c r="BS26" s="770"/>
      <c r="BT26" s="770"/>
      <c r="BW26" s="266" t="s">
        <v>1195</v>
      </c>
      <c r="BX26" s="205">
        <v>13</v>
      </c>
      <c r="BY26" s="770"/>
      <c r="BZ26" s="770"/>
      <c r="CC26" s="266" t="s">
        <v>1195</v>
      </c>
      <c r="CD26" s="205">
        <v>13</v>
      </c>
      <c r="CE26" s="770"/>
      <c r="CF26" s="77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98" t="s">
        <v>1536</v>
      </c>
      <c r="DZ26" s="79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3" t="s">
        <v>1536</v>
      </c>
      <c r="ES26" s="793"/>
      <c r="ET26" s="1" t="s">
        <v>1703</v>
      </c>
      <c r="EU26" s="272">
        <v>20000</v>
      </c>
      <c r="EW26" s="79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60"/>
      <c r="JA26" s="660"/>
      <c r="JB26" s="337" t="s">
        <v>2707</v>
      </c>
      <c r="JC26" s="61">
        <v>10</v>
      </c>
      <c r="JH26" s="337" t="s">
        <v>2749</v>
      </c>
      <c r="JI26" s="61">
        <v>30</v>
      </c>
      <c r="JJ26" s="708" t="s">
        <v>2755</v>
      </c>
      <c r="JK26" s="669">
        <v>75.599999999999994</v>
      </c>
      <c r="JN26" s="337" t="s">
        <v>2798</v>
      </c>
      <c r="JO26" s="61">
        <v>50.23</v>
      </c>
      <c r="JP26" s="725" t="s">
        <v>2423</v>
      </c>
      <c r="JS26" s="268"/>
    </row>
    <row r="27" spans="1:280" x14ac:dyDescent="0.2">
      <c r="A27" s="770"/>
      <c r="B27" s="770"/>
      <c r="F27" s="194"/>
      <c r="G27" s="770"/>
      <c r="H27" s="770"/>
      <c r="K27"/>
      <c r="M27" s="803" t="s">
        <v>506</v>
      </c>
      <c r="N27" s="803"/>
      <c r="Q27" s="244" t="s">
        <v>1019</v>
      </c>
      <c r="R27" s="142">
        <v>0</v>
      </c>
      <c r="S27" s="803" t="s">
        <v>506</v>
      </c>
      <c r="T27" s="803"/>
      <c r="W27" s="143" t="s">
        <v>1051</v>
      </c>
      <c r="X27" s="142">
        <v>60.75</v>
      </c>
      <c r="Y27" s="770"/>
      <c r="Z27" s="770"/>
      <c r="AC27" s="219" t="s">
        <v>1092</v>
      </c>
      <c r="AD27" s="219"/>
      <c r="AE27" s="803" t="s">
        <v>506</v>
      </c>
      <c r="AF27" s="80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3" t="s">
        <v>1536</v>
      </c>
      <c r="EY27" s="79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48" t="s">
        <v>2171</v>
      </c>
      <c r="HQ27" s="748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2713</v>
      </c>
      <c r="JC27" s="61">
        <v>7</v>
      </c>
      <c r="JD27" s="620" t="s">
        <v>506</v>
      </c>
      <c r="JF27" s="679" t="s">
        <v>2723</v>
      </c>
      <c r="JG27" s="679"/>
      <c r="JH27" s="337" t="s">
        <v>2775</v>
      </c>
      <c r="JI27" s="61">
        <f>55.72+65.82</f>
        <v>121.53999999999999</v>
      </c>
      <c r="JJ27" s="688"/>
      <c r="JL27" s="733" t="s">
        <v>2804</v>
      </c>
      <c r="JM27" s="733"/>
      <c r="JN27" s="337" t="s">
        <v>2808</v>
      </c>
      <c r="JO27" s="61">
        <f>9+2</f>
        <v>11</v>
      </c>
      <c r="JP27" s="744" t="s">
        <v>2815</v>
      </c>
      <c r="JQ27" s="720">
        <v>30</v>
      </c>
    </row>
    <row r="28" spans="1:280" x14ac:dyDescent="0.2">
      <c r="A28" s="770"/>
      <c r="B28" s="770"/>
      <c r="E28" s="193" t="s">
        <v>360</v>
      </c>
      <c r="F28" s="194"/>
      <c r="G28" s="770"/>
      <c r="H28" s="770"/>
      <c r="K28" s="143" t="s">
        <v>1017</v>
      </c>
      <c r="L28" s="142">
        <f>60</f>
        <v>60</v>
      </c>
      <c r="M28" s="803" t="s">
        <v>992</v>
      </c>
      <c r="N28" s="803"/>
      <c r="Q28" s="244" t="s">
        <v>1073</v>
      </c>
      <c r="R28" s="205">
        <v>200</v>
      </c>
      <c r="S28" s="803" t="s">
        <v>992</v>
      </c>
      <c r="T28" s="803"/>
      <c r="W28" s="143" t="s">
        <v>1016</v>
      </c>
      <c r="X28" s="142">
        <v>61.35</v>
      </c>
      <c r="Y28" s="803" t="s">
        <v>506</v>
      </c>
      <c r="Z28" s="803"/>
      <c r="AC28" s="219" t="s">
        <v>1088</v>
      </c>
      <c r="AD28" s="219">
        <f>53+207+63</f>
        <v>323</v>
      </c>
      <c r="AE28" s="803" t="s">
        <v>992</v>
      </c>
      <c r="AF28" s="80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3" t="s">
        <v>1747</v>
      </c>
      <c r="FE28" s="79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2596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2635</v>
      </c>
      <c r="JC28" s="61">
        <v>34</v>
      </c>
      <c r="JD28" s="620" t="s">
        <v>93</v>
      </c>
      <c r="JF28" s="192" t="s">
        <v>1959</v>
      </c>
      <c r="JG28" s="286">
        <f>SUM(JI6:JI7)</f>
        <v>3900.1</v>
      </c>
      <c r="JH28" s="337" t="s">
        <v>2776</v>
      </c>
      <c r="JI28" s="61">
        <f>44.8+43.4</f>
        <v>88.199999999999989</v>
      </c>
      <c r="JJ28" s="712"/>
      <c r="JL28" s="192" t="s">
        <v>1959</v>
      </c>
      <c r="JM28" s="286">
        <f>SUM(JO6:JO7)</f>
        <v>2900.12</v>
      </c>
      <c r="JN28" s="337" t="s">
        <v>2817</v>
      </c>
      <c r="JO28" s="61"/>
      <c r="JP28" s="732" t="s">
        <v>2822</v>
      </c>
      <c r="JQ28" s="720">
        <v>54</v>
      </c>
    </row>
    <row r="29" spans="1:280" x14ac:dyDescent="0.2">
      <c r="A29" s="803" t="s">
        <v>506</v>
      </c>
      <c r="B29" s="803"/>
      <c r="E29" s="193" t="s">
        <v>282</v>
      </c>
      <c r="F29" s="194"/>
      <c r="G29" s="803" t="s">
        <v>506</v>
      </c>
      <c r="H29" s="803"/>
      <c r="K29" s="143" t="s">
        <v>1016</v>
      </c>
      <c r="L29" s="142">
        <v>0</v>
      </c>
      <c r="M29" s="805" t="s">
        <v>93</v>
      </c>
      <c r="N29" s="805"/>
      <c r="Q29" s="244" t="s">
        <v>1050</v>
      </c>
      <c r="R29" s="142">
        <v>0</v>
      </c>
      <c r="S29" s="805" t="s">
        <v>93</v>
      </c>
      <c r="T29" s="805"/>
      <c r="W29" s="143" t="s">
        <v>1015</v>
      </c>
      <c r="X29" s="142">
        <v>64</v>
      </c>
      <c r="Y29" s="803" t="s">
        <v>992</v>
      </c>
      <c r="Z29" s="803"/>
      <c r="AC29" s="219" t="s">
        <v>1089</v>
      </c>
      <c r="AD29" s="219">
        <f>63+46</f>
        <v>109</v>
      </c>
      <c r="AE29" s="805" t="s">
        <v>93</v>
      </c>
      <c r="AF29" s="80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3" t="s">
        <v>1536</v>
      </c>
      <c r="EM29" s="79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2771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8"/>
      <c r="JB29" s="337" t="s">
        <v>2670</v>
      </c>
      <c r="JC29" s="61">
        <v>64.75</v>
      </c>
      <c r="JD29" s="620" t="s">
        <v>1034</v>
      </c>
      <c r="JF29" s="388" t="s">
        <v>1960</v>
      </c>
      <c r="JG29" s="286">
        <f>SUM(JI12:JI15)</f>
        <v>156875.80412602739</v>
      </c>
      <c r="JH29" s="337" t="s">
        <v>2744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1863</v>
      </c>
      <c r="JO29" s="533"/>
      <c r="JP29" s="720" t="s">
        <v>2821</v>
      </c>
      <c r="JQ29" s="720">
        <v>162</v>
      </c>
    </row>
    <row r="30" spans="1:280" x14ac:dyDescent="0.2">
      <c r="A30" s="803" t="s">
        <v>992</v>
      </c>
      <c r="B30" s="803"/>
      <c r="E30" s="193" t="s">
        <v>372</v>
      </c>
      <c r="F30" s="194"/>
      <c r="G30" s="803" t="s">
        <v>992</v>
      </c>
      <c r="H30" s="803"/>
      <c r="K30" s="143" t="s">
        <v>1015</v>
      </c>
      <c r="L30" s="142">
        <v>64</v>
      </c>
      <c r="M30" s="770" t="s">
        <v>385</v>
      </c>
      <c r="N30" s="770"/>
      <c r="Q30"/>
      <c r="S30" s="770" t="s">
        <v>385</v>
      </c>
      <c r="T30" s="770"/>
      <c r="W30" s="143" t="s">
        <v>1014</v>
      </c>
      <c r="X30" s="142">
        <v>100.01</v>
      </c>
      <c r="Y30" s="805" t="s">
        <v>93</v>
      </c>
      <c r="Z30" s="805"/>
      <c r="AC30" s="142" t="s">
        <v>1087</v>
      </c>
      <c r="AD30" s="142">
        <v>65</v>
      </c>
      <c r="AE30" s="770" t="s">
        <v>385</v>
      </c>
      <c r="AF30" s="77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3" t="s">
        <v>1747</v>
      </c>
      <c r="FK30" s="79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2771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2771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2552</v>
      </c>
      <c r="IQ30" s="61" t="s">
        <v>2553</v>
      </c>
      <c r="IR30" s="542"/>
      <c r="IS30" s="527"/>
      <c r="IT30" s="573" t="s">
        <v>2554</v>
      </c>
      <c r="IU30" s="353">
        <v>90</v>
      </c>
      <c r="IV30" s="409">
        <v>5</v>
      </c>
      <c r="IW30" s="543" t="s">
        <v>2551</v>
      </c>
      <c r="IX30" s="572" t="s">
        <v>2381</v>
      </c>
      <c r="JB30" s="662" t="s">
        <v>2688</v>
      </c>
      <c r="JC30" s="533">
        <f>3.3+7.001</f>
        <v>10.301</v>
      </c>
      <c r="JF30" s="350" t="s">
        <v>1392</v>
      </c>
      <c r="JG30" s="680">
        <f>SUM(JI8:JI8)</f>
        <v>327.74</v>
      </c>
      <c r="JH30" s="337" t="s">
        <v>2748</v>
      </c>
      <c r="JI30" s="533">
        <f>8.65*2</f>
        <v>17.3</v>
      </c>
      <c r="JJ30" s="669" t="s">
        <v>506</v>
      </c>
      <c r="JL30" s="350" t="s">
        <v>1392</v>
      </c>
      <c r="JM30" s="720">
        <f>SUM(JO8:JO9)</f>
        <v>175.82999999999998</v>
      </c>
      <c r="JN30" s="337" t="s">
        <v>1863</v>
      </c>
      <c r="JO30" s="533"/>
      <c r="JP30" s="720" t="s">
        <v>2823</v>
      </c>
      <c r="JQ30" s="720">
        <v>38.85</v>
      </c>
    </row>
    <row r="31" spans="1:280" ht="12.75" customHeight="1" x14ac:dyDescent="0.2">
      <c r="A31" s="805" t="s">
        <v>93</v>
      </c>
      <c r="B31" s="805"/>
      <c r="E31" s="193" t="s">
        <v>1007</v>
      </c>
      <c r="F31" s="170"/>
      <c r="G31" s="805" t="s">
        <v>93</v>
      </c>
      <c r="H31" s="805"/>
      <c r="K31" s="143" t="s">
        <v>1014</v>
      </c>
      <c r="L31" s="142">
        <v>50.01</v>
      </c>
      <c r="M31" s="806" t="s">
        <v>1001</v>
      </c>
      <c r="N31" s="806"/>
      <c r="Q31" s="143" t="s">
        <v>1052</v>
      </c>
      <c r="R31" s="142">
        <v>26</v>
      </c>
      <c r="S31" s="806" t="s">
        <v>1001</v>
      </c>
      <c r="T31" s="806"/>
      <c r="W31"/>
      <c r="Y31" s="770" t="s">
        <v>385</v>
      </c>
      <c r="Z31" s="770"/>
      <c r="AC31" s="142" t="s">
        <v>1090</v>
      </c>
      <c r="AD31" s="142">
        <v>10</v>
      </c>
      <c r="AE31" s="806" t="s">
        <v>1001</v>
      </c>
      <c r="AF31" s="80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2" t="s">
        <v>2689</v>
      </c>
      <c r="JC31" s="533">
        <v>74.959999999999994</v>
      </c>
      <c r="JF31" s="346" t="s">
        <v>2166</v>
      </c>
      <c r="JG31" s="680">
        <f>SUM(JI9:JI11)</f>
        <v>2683.17</v>
      </c>
      <c r="JH31" s="337" t="s">
        <v>2759</v>
      </c>
      <c r="JI31" s="533">
        <f>6.2+29.5</f>
        <v>35.700000000000003</v>
      </c>
      <c r="JJ31" s="669" t="s">
        <v>93</v>
      </c>
      <c r="JL31" s="346" t="s">
        <v>2166</v>
      </c>
      <c r="JM31" s="720">
        <f>SUM(JO10:JO11)</f>
        <v>0</v>
      </c>
      <c r="JN31" s="337" t="s">
        <v>1863</v>
      </c>
      <c r="JO31" s="533"/>
      <c r="JP31" s="720" t="s">
        <v>2827</v>
      </c>
      <c r="JQ31" s="720">
        <v>45</v>
      </c>
    </row>
    <row r="32" spans="1:280" x14ac:dyDescent="0.2">
      <c r="A32" s="770" t="s">
        <v>385</v>
      </c>
      <c r="B32" s="770"/>
      <c r="E32" s="170"/>
      <c r="F32" s="170"/>
      <c r="G32" s="770" t="s">
        <v>385</v>
      </c>
      <c r="H32" s="770"/>
      <c r="K32"/>
      <c r="M32" s="802" t="s">
        <v>243</v>
      </c>
      <c r="N32" s="802"/>
      <c r="Q32" s="143" t="s">
        <v>1051</v>
      </c>
      <c r="R32" s="142">
        <v>55</v>
      </c>
      <c r="S32" s="802" t="s">
        <v>243</v>
      </c>
      <c r="T32" s="802"/>
      <c r="W32" s="243" t="s">
        <v>1072</v>
      </c>
      <c r="X32" s="243">
        <v>0</v>
      </c>
      <c r="Y32" s="806" t="s">
        <v>1001</v>
      </c>
      <c r="Z32" s="806"/>
      <c r="AE32" s="802" t="s">
        <v>243</v>
      </c>
      <c r="AF32" s="80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0" t="s">
        <v>1438</v>
      </c>
      <c r="DP32" s="79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2771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48" t="s">
        <v>2171</v>
      </c>
      <c r="IO32" s="748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2623</v>
      </c>
      <c r="IZ32" s="401"/>
      <c r="JA32" s="510"/>
      <c r="JB32" s="662" t="s">
        <v>2712</v>
      </c>
      <c r="JC32" s="533">
        <v>74.13</v>
      </c>
      <c r="JF32" s="348" t="s">
        <v>2167</v>
      </c>
      <c r="JG32" s="411">
        <f>SUM(JI16:JI24)</f>
        <v>412.16</v>
      </c>
      <c r="JH32" s="669" t="s">
        <v>2724</v>
      </c>
      <c r="JI32" s="78">
        <v>78</v>
      </c>
      <c r="JJ32" s="669" t="s">
        <v>1034</v>
      </c>
      <c r="JL32" s="348" t="s">
        <v>2167</v>
      </c>
      <c r="JM32" s="411">
        <f>SUM(JO16:JO24)</f>
        <v>968.06749999999988</v>
      </c>
      <c r="JN32" s="720" t="s">
        <v>2724</v>
      </c>
      <c r="JO32" s="78">
        <v>20</v>
      </c>
    </row>
    <row r="33" spans="1:278" x14ac:dyDescent="0.2">
      <c r="A33" s="806" t="s">
        <v>1001</v>
      </c>
      <c r="B33" s="806"/>
      <c r="C33" s="3"/>
      <c r="D33" s="3"/>
      <c r="E33" s="246"/>
      <c r="F33" s="246"/>
      <c r="G33" s="806" t="s">
        <v>1001</v>
      </c>
      <c r="H33" s="806"/>
      <c r="K33" s="243" t="s">
        <v>1021</v>
      </c>
      <c r="L33" s="243"/>
      <c r="M33" s="804" t="s">
        <v>1034</v>
      </c>
      <c r="N33" s="804"/>
      <c r="Q33" s="143" t="s">
        <v>1016</v>
      </c>
      <c r="R33" s="142">
        <v>77.239999999999995</v>
      </c>
      <c r="S33" s="804" t="s">
        <v>1034</v>
      </c>
      <c r="T33" s="804"/>
      <c r="Y33" s="802" t="s">
        <v>243</v>
      </c>
      <c r="Z33" s="802"/>
      <c r="AC33" s="197" t="s">
        <v>1012</v>
      </c>
      <c r="AD33" s="142">
        <v>350</v>
      </c>
      <c r="AE33" s="804" t="s">
        <v>1034</v>
      </c>
      <c r="AF33" s="80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0" t="s">
        <v>1411</v>
      </c>
      <c r="DB33" s="80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2596</v>
      </c>
      <c r="IC33" s="604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2" t="s">
        <v>2605</v>
      </c>
      <c r="IW33" s="532">
        <v>70</v>
      </c>
      <c r="IZ33" s="402"/>
      <c r="JB33" s="662" t="s">
        <v>2715</v>
      </c>
      <c r="JC33" s="533">
        <v>24.71</v>
      </c>
      <c r="JF33" s="337" t="s">
        <v>2165</v>
      </c>
      <c r="JG33" s="669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0">
        <f>SUM(JO25:JO31)</f>
        <v>61.23</v>
      </c>
      <c r="JN33" s="9" t="s">
        <v>2197</v>
      </c>
      <c r="JO33" s="534">
        <f>250</f>
        <v>250</v>
      </c>
    </row>
    <row r="34" spans="1:278" x14ac:dyDescent="0.2">
      <c r="A34" s="802" t="s">
        <v>243</v>
      </c>
      <c r="B34" s="802"/>
      <c r="E34" s="170"/>
      <c r="F34" s="170"/>
      <c r="G34" s="802" t="s">
        <v>243</v>
      </c>
      <c r="H34" s="80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4" t="s">
        <v>1034</v>
      </c>
      <c r="Z34" s="80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2585</v>
      </c>
      <c r="IW34" s="572">
        <v>8.67</v>
      </c>
      <c r="IZ34" s="748" t="s">
        <v>2171</v>
      </c>
      <c r="JA34" s="748"/>
      <c r="JB34" s="337" t="s">
        <v>2710</v>
      </c>
      <c r="JC34" s="61">
        <v>55</v>
      </c>
      <c r="JF34" s="337" t="s">
        <v>2771</v>
      </c>
      <c r="JG34" s="669">
        <f>SUM(JI27:JI31)</f>
        <v>303.64</v>
      </c>
      <c r="JH34" s="412">
        <v>23.04</v>
      </c>
      <c r="JI34" s="534"/>
      <c r="JL34" s="337" t="s">
        <v>2771</v>
      </c>
      <c r="JM34" s="720">
        <f>SUM(JO27:JO31)</f>
        <v>11</v>
      </c>
      <c r="JN34" s="412">
        <v>23.04</v>
      </c>
      <c r="JO34" s="534"/>
      <c r="JP34" s="720" t="s">
        <v>506</v>
      </c>
    </row>
    <row r="35" spans="1:278" ht="14.25" customHeight="1" x14ac:dyDescent="0.25">
      <c r="A35" s="808" t="s">
        <v>342</v>
      </c>
      <c r="B35" s="808"/>
      <c r="E35" s="187" t="s">
        <v>368</v>
      </c>
      <c r="F35" s="170"/>
      <c r="G35" s="808" t="s">
        <v>342</v>
      </c>
      <c r="H35" s="80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2771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2585</v>
      </c>
      <c r="IW35" s="533">
        <v>23.08</v>
      </c>
      <c r="IZ35" s="192" t="s">
        <v>1959</v>
      </c>
      <c r="JA35" s="273">
        <f>SUM(JC7:JC7)</f>
        <v>1900.03</v>
      </c>
      <c r="JB35" s="620" t="s">
        <v>2725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20" t="s">
        <v>93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2594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2722</v>
      </c>
      <c r="JL36" s="723" t="s">
        <v>2805</v>
      </c>
      <c r="JM36" s="353">
        <f>50+400</f>
        <v>450</v>
      </c>
      <c r="JN36" s="409">
        <v>20</v>
      </c>
      <c r="JO36" s="543" t="s">
        <v>1828</v>
      </c>
      <c r="JP36" s="720" t="s">
        <v>1034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95" t="s">
        <v>1536</v>
      </c>
      <c r="DT37" s="79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2604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8" t="s">
        <v>2750</v>
      </c>
      <c r="JG37" s="353">
        <v>200</v>
      </c>
      <c r="JH37" s="409">
        <v>8</v>
      </c>
      <c r="JI37" s="543" t="s">
        <v>2728</v>
      </c>
      <c r="JN37" s="409">
        <v>30</v>
      </c>
      <c r="JO37" s="543" t="s">
        <v>2809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2604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2797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2771</v>
      </c>
      <c r="IO39">
        <f>SUM(IQ25:IQ32)</f>
        <v>303.81</v>
      </c>
      <c r="IP39" s="409">
        <v>7.9</v>
      </c>
      <c r="IQ39" s="543" t="s">
        <v>2470</v>
      </c>
      <c r="IV39" s="504" t="s">
        <v>2604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2632</v>
      </c>
      <c r="JH39" s="409">
        <v>10</v>
      </c>
      <c r="JI39" s="543" t="s">
        <v>2747</v>
      </c>
      <c r="JN39" s="409">
        <v>9</v>
      </c>
      <c r="JO39" s="543" t="s">
        <v>2796</v>
      </c>
      <c r="JP39" s="720" t="s">
        <v>2773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0" t="s">
        <v>1438</v>
      </c>
      <c r="DJ40" s="79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48" t="s">
        <v>2171</v>
      </c>
      <c r="II40" s="748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2666</v>
      </c>
      <c r="JH40" s="409">
        <v>12</v>
      </c>
      <c r="JI40" s="543" t="s">
        <v>2751</v>
      </c>
      <c r="JM40" s="494"/>
      <c r="JN40" s="409">
        <v>10</v>
      </c>
      <c r="JO40" s="543" t="s">
        <v>2813</v>
      </c>
      <c r="JP40" s="734"/>
      <c r="JQ40" s="734"/>
      <c r="JR40" s="734"/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2771</v>
      </c>
      <c r="JA41" s="620">
        <f>SUM(JC28:JC34)</f>
        <v>337.85099999999994</v>
      </c>
      <c r="JB41" s="409">
        <v>30</v>
      </c>
      <c r="JC41" s="543" t="s">
        <v>2649</v>
      </c>
      <c r="JG41" s="494"/>
      <c r="JH41" s="504" t="s">
        <v>2727</v>
      </c>
      <c r="JI41" s="533">
        <v>751</v>
      </c>
      <c r="JM41" s="494"/>
      <c r="JN41" s="409">
        <v>18</v>
      </c>
      <c r="JO41" s="543" t="s">
        <v>2801</v>
      </c>
      <c r="JP41" s="734"/>
      <c r="JQ41" s="734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4" t="s">
        <v>2663</v>
      </c>
      <c r="JA42" s="353">
        <v>200</v>
      </c>
      <c r="JB42" s="409">
        <v>13</v>
      </c>
      <c r="JC42" s="543" t="s">
        <v>2683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2802</v>
      </c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3" t="s">
        <v>2317</v>
      </c>
      <c r="HY43" s="603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2" t="s">
        <v>2650</v>
      </c>
      <c r="JC43" s="532">
        <v>18</v>
      </c>
      <c r="JG43" s="495"/>
      <c r="JH43" s="400" t="s">
        <v>2780</v>
      </c>
      <c r="JI43" s="533">
        <v>65</v>
      </c>
      <c r="JN43" s="409">
        <f>86*3+96</f>
        <v>354</v>
      </c>
      <c r="JO43" s="63" t="s">
        <v>2803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3"/>
      <c r="HY44" s="603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0">
        <v>86.8</v>
      </c>
      <c r="JH44" s="504" t="s">
        <v>2716</v>
      </c>
      <c r="JI44" s="533">
        <v>13.3</v>
      </c>
      <c r="JN44" s="400" t="s">
        <v>2790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2687</v>
      </c>
      <c r="JC45" s="533">
        <v>36.9</v>
      </c>
      <c r="JH45" s="202" t="s">
        <v>2777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5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2716</v>
      </c>
      <c r="JC46" s="533">
        <v>13.3</v>
      </c>
      <c r="JH46" s="202"/>
      <c r="JI46" s="202"/>
      <c r="JN46" s="400" t="s">
        <v>2824</v>
      </c>
      <c r="JO46" s="533">
        <v>2.79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89" t="s">
        <v>2093</v>
      </c>
      <c r="GZ47" s="360" t="s">
        <v>2111</v>
      </c>
      <c r="HA47" s="6">
        <v>6</v>
      </c>
      <c r="HX47" s="606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2771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504" t="s">
        <v>2789</v>
      </c>
      <c r="JO47" s="533">
        <v>8.5500000000000007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89"/>
      <c r="GZ48" t="s">
        <v>2087</v>
      </c>
      <c r="HA48" s="210">
        <v>670.00099999999998</v>
      </c>
      <c r="HX48" s="605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2788</v>
      </c>
      <c r="JO48" s="533">
        <v>10.35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89"/>
      <c r="GZ49" s="210" t="s">
        <v>2118</v>
      </c>
      <c r="HX49" s="606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2795</v>
      </c>
      <c r="JO49" s="533">
        <v>8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89"/>
      <c r="GZ50" t="s">
        <v>2086</v>
      </c>
      <c r="HA50" s="6">
        <v>50.000999999999998</v>
      </c>
      <c r="HF50" s="1"/>
      <c r="HX50" s="606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202" t="s">
        <v>2799</v>
      </c>
      <c r="JO50" s="357">
        <v>7.67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6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 t="s">
        <v>2816</v>
      </c>
      <c r="JO51" s="357">
        <v>3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6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  <c r="JO52" s="202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5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6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  <c r="JQ62" s="390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topLeftCell="C1" zoomScaleNormal="100" workbookViewId="0">
      <selection activeCell="O44" sqref="O44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6" customFormat="1" ht="7.5" customHeight="1" x14ac:dyDescent="0.2">
      <c r="B2" s="830" t="s">
        <v>1875</v>
      </c>
      <c r="C2" s="830"/>
      <c r="D2" s="830"/>
      <c r="E2" s="810" t="s">
        <v>2500</v>
      </c>
      <c r="F2" s="810" t="s">
        <v>2524</v>
      </c>
      <c r="G2" s="698"/>
      <c r="H2" s="821"/>
      <c r="I2" s="809" t="s">
        <v>2633</v>
      </c>
      <c r="J2" s="809"/>
      <c r="K2" s="812" t="s">
        <v>2630</v>
      </c>
      <c r="L2" s="812" t="s">
        <v>2549</v>
      </c>
      <c r="M2" s="810" t="s">
        <v>2505</v>
      </c>
      <c r="N2" s="815" t="s">
        <v>2513</v>
      </c>
    </row>
    <row r="3" spans="2:16" s="705" customFormat="1" ht="7.5" customHeight="1" x14ac:dyDescent="0.2">
      <c r="B3" s="699" t="s">
        <v>1874</v>
      </c>
      <c r="C3" s="700" t="s">
        <v>1873</v>
      </c>
      <c r="D3" s="701" t="s">
        <v>2415</v>
      </c>
      <c r="E3" s="811"/>
      <c r="F3" s="811"/>
      <c r="G3" s="702"/>
      <c r="H3" s="822"/>
      <c r="I3" s="703" t="s">
        <v>2592</v>
      </c>
      <c r="J3" s="704" t="s">
        <v>2212</v>
      </c>
      <c r="K3" s="813"/>
      <c r="L3" s="813"/>
      <c r="M3" s="811"/>
      <c r="N3" s="815"/>
    </row>
    <row r="4" spans="2:16" s="626" customFormat="1" ht="7.5" customHeight="1" x14ac:dyDescent="0.2">
      <c r="B4" s="626">
        <v>38</v>
      </c>
      <c r="C4" s="626">
        <v>29</v>
      </c>
      <c r="D4" s="626">
        <v>130</v>
      </c>
      <c r="G4" s="655">
        <v>44958</v>
      </c>
      <c r="I4" s="626">
        <f>360-J4</f>
        <v>285</v>
      </c>
      <c r="J4" s="626">
        <v>75</v>
      </c>
      <c r="K4" s="626">
        <v>65</v>
      </c>
      <c r="L4" s="626">
        <v>176</v>
      </c>
      <c r="M4" s="626">
        <v>485.00099999999998</v>
      </c>
      <c r="N4" s="626" t="s">
        <v>2516</v>
      </c>
      <c r="O4" s="626" t="s">
        <v>2555</v>
      </c>
    </row>
    <row r="5" spans="2:16" s="626" customFormat="1" ht="7.5" customHeight="1" x14ac:dyDescent="0.2">
      <c r="B5" s="626" t="s">
        <v>2501</v>
      </c>
      <c r="C5" s="626">
        <v>8</v>
      </c>
      <c r="D5" s="626">
        <f>D4</f>
        <v>130</v>
      </c>
      <c r="E5" s="626" t="s">
        <v>2526</v>
      </c>
      <c r="F5" s="626" t="s">
        <v>310</v>
      </c>
      <c r="G5" s="655">
        <v>44975</v>
      </c>
      <c r="H5" s="656"/>
      <c r="I5" s="626">
        <f>360-J5</f>
        <v>285</v>
      </c>
      <c r="J5" s="626">
        <v>75</v>
      </c>
      <c r="K5" s="626">
        <v>65</v>
      </c>
      <c r="L5" s="626">
        <v>176</v>
      </c>
      <c r="M5" s="626">
        <v>418.00099999999998</v>
      </c>
      <c r="N5" s="626" t="s">
        <v>2516</v>
      </c>
    </row>
    <row r="6" spans="2:16" s="626" customFormat="1" ht="7.5" customHeight="1" x14ac:dyDescent="0.2">
      <c r="B6" s="691"/>
      <c r="E6" s="692">
        <v>155</v>
      </c>
      <c r="G6" s="693">
        <v>44985</v>
      </c>
      <c r="H6" s="656" t="s">
        <v>2557</v>
      </c>
      <c r="P6" s="656"/>
    </row>
    <row r="7" spans="2:16" s="626" customFormat="1" ht="7.5" customHeight="1" x14ac:dyDescent="0.2">
      <c r="B7" s="691"/>
      <c r="G7" s="693">
        <v>44987</v>
      </c>
      <c r="H7" s="694" t="s">
        <v>2706</v>
      </c>
      <c r="P7" s="656"/>
    </row>
    <row r="8" spans="2:16" s="740" customFormat="1" x14ac:dyDescent="0.2">
      <c r="B8" s="739"/>
      <c r="G8" s="741">
        <v>45013</v>
      </c>
      <c r="H8" s="742"/>
      <c r="I8" s="742"/>
      <c r="J8" s="742"/>
      <c r="K8" s="742"/>
      <c r="L8" s="742"/>
      <c r="M8" s="742"/>
      <c r="O8" s="742" t="s">
        <v>2739</v>
      </c>
      <c r="P8" s="742"/>
    </row>
    <row r="9" spans="2:16" s="626" customFormat="1" ht="7.5" customHeight="1" x14ac:dyDescent="0.2">
      <c r="B9" s="695"/>
      <c r="E9" s="626" t="s">
        <v>2523</v>
      </c>
      <c r="F9" s="626" t="s">
        <v>2595</v>
      </c>
      <c r="G9" s="655">
        <v>45016</v>
      </c>
      <c r="H9" s="656"/>
      <c r="I9" s="696">
        <v>220</v>
      </c>
      <c r="J9" s="626">
        <v>75</v>
      </c>
      <c r="K9" s="656">
        <v>0</v>
      </c>
      <c r="L9" s="656"/>
      <c r="M9" s="626">
        <v>258</v>
      </c>
      <c r="N9" s="656" t="s">
        <v>2693</v>
      </c>
    </row>
    <row r="10" spans="2:16" x14ac:dyDescent="0.2">
      <c r="B10" s="567"/>
      <c r="C10" s="825" t="s">
        <v>2503</v>
      </c>
      <c r="D10" s="825"/>
      <c r="E10" s="825"/>
      <c r="F10" s="825"/>
      <c r="G10" s="825"/>
      <c r="H10" s="825"/>
      <c r="I10" s="825"/>
      <c r="J10" s="825"/>
      <c r="K10" s="825"/>
      <c r="L10" s="825"/>
      <c r="M10" s="825"/>
      <c r="N10" s="825"/>
      <c r="O10" s="825"/>
      <c r="P10" s="825"/>
    </row>
    <row r="11" spans="2:16" ht="12.75" customHeight="1" x14ac:dyDescent="0.2">
      <c r="B11" s="566"/>
      <c r="C11" s="558" t="s">
        <v>2520</v>
      </c>
      <c r="D11" s="556"/>
      <c r="E11" s="816" t="s">
        <v>2500</v>
      </c>
      <c r="F11" s="816" t="s">
        <v>2524</v>
      </c>
      <c r="G11" s="560"/>
      <c r="H11" s="819" t="s">
        <v>2512</v>
      </c>
      <c r="I11" s="823" t="s">
        <v>2756</v>
      </c>
      <c r="J11" s="826" t="s">
        <v>2631</v>
      </c>
      <c r="K11" s="826"/>
      <c r="L11" s="827"/>
      <c r="M11" s="816" t="s">
        <v>2757</v>
      </c>
      <c r="N11" s="818" t="s">
        <v>2513</v>
      </c>
    </row>
    <row r="12" spans="2:16" x14ac:dyDescent="0.2">
      <c r="B12" s="566"/>
      <c r="C12" s="550" t="s">
        <v>1873</v>
      </c>
      <c r="D12" s="551" t="s">
        <v>2415</v>
      </c>
      <c r="E12" s="817"/>
      <c r="F12" s="817"/>
      <c r="G12" s="562"/>
      <c r="H12" s="820"/>
      <c r="I12" s="824"/>
      <c r="J12" s="706" t="s">
        <v>2522</v>
      </c>
      <c r="K12" s="563" t="s">
        <v>1874</v>
      </c>
      <c r="L12" s="828"/>
      <c r="M12" s="817"/>
      <c r="N12" s="818"/>
    </row>
    <row r="13" spans="2:16" s="626" customFormat="1" x14ac:dyDescent="0.2">
      <c r="B13" s="829">
        <v>8</v>
      </c>
      <c r="C13" s="829"/>
      <c r="G13" s="697">
        <v>45017</v>
      </c>
      <c r="H13" s="656">
        <v>0</v>
      </c>
      <c r="J13" s="707"/>
      <c r="O13" s="626" t="s">
        <v>2521</v>
      </c>
    </row>
    <row r="14" spans="2:16" s="626" customFormat="1" x14ac:dyDescent="0.2">
      <c r="B14" s="695"/>
      <c r="C14" s="626" t="s">
        <v>2501</v>
      </c>
      <c r="E14" s="694" t="s">
        <v>2634</v>
      </c>
      <c r="F14" s="694" t="s">
        <v>2622</v>
      </c>
      <c r="G14" s="655">
        <v>45020</v>
      </c>
      <c r="H14" s="656"/>
      <c r="I14" s="626">
        <v>110</v>
      </c>
      <c r="J14" s="731">
        <f>I9-I14-L14</f>
        <v>110</v>
      </c>
      <c r="K14" s="626">
        <v>75</v>
      </c>
      <c r="M14" s="626">
        <f>M9-B13</f>
        <v>250</v>
      </c>
      <c r="N14" s="656" t="s">
        <v>2693</v>
      </c>
    </row>
    <row r="15" spans="2:16" s="626" customFormat="1" x14ac:dyDescent="0.2">
      <c r="B15" s="695"/>
      <c r="E15" s="694"/>
      <c r="F15" s="694"/>
      <c r="G15" s="655">
        <v>45034</v>
      </c>
      <c r="H15" s="656" t="s">
        <v>2767</v>
      </c>
      <c r="N15" s="656"/>
    </row>
    <row r="16" spans="2:16" x14ac:dyDescent="0.2">
      <c r="B16" s="566"/>
      <c r="C16" s="548">
        <v>3</v>
      </c>
      <c r="E16" s="668" t="s">
        <v>2682</v>
      </c>
      <c r="F16" s="668" t="s">
        <v>2595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2794</v>
      </c>
    </row>
    <row r="17" spans="2:18" x14ac:dyDescent="0.2">
      <c r="B17" s="566"/>
      <c r="E17" s="657"/>
      <c r="F17" s="657"/>
      <c r="G17" s="561"/>
      <c r="H17" s="555"/>
    </row>
    <row r="18" spans="2:18" x14ac:dyDescent="0.2">
      <c r="B18" s="566"/>
      <c r="E18" s="657"/>
      <c r="F18" s="657"/>
      <c r="G18" s="561"/>
      <c r="H18" s="555"/>
    </row>
    <row r="19" spans="2:18" x14ac:dyDescent="0.2">
      <c r="B19" s="566"/>
      <c r="E19" s="627"/>
      <c r="F19" s="627"/>
      <c r="H19" s="555"/>
      <c r="N19" s="555"/>
      <c r="O19" s="554" t="s">
        <v>2738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2810</v>
      </c>
    </row>
    <row r="21" spans="2:18" x14ac:dyDescent="0.2">
      <c r="B21" s="567"/>
      <c r="C21" s="825" t="s">
        <v>2504</v>
      </c>
      <c r="D21" s="825"/>
      <c r="E21" s="825"/>
      <c r="F21" s="825"/>
      <c r="G21" s="825"/>
      <c r="H21" s="825"/>
      <c r="I21" s="825"/>
      <c r="J21" s="825"/>
      <c r="K21" s="825"/>
      <c r="L21" s="825"/>
      <c r="M21" s="825"/>
      <c r="N21" s="825"/>
      <c r="O21" s="825"/>
      <c r="P21" s="825"/>
    </row>
    <row r="22" spans="2:18" x14ac:dyDescent="0.2">
      <c r="B22" s="566"/>
      <c r="E22" s="557"/>
      <c r="F22" s="617"/>
      <c r="G22" s="561">
        <v>45062</v>
      </c>
      <c r="H22" s="555" t="s">
        <v>2678</v>
      </c>
      <c r="K22" s="555"/>
      <c r="L22" s="555"/>
    </row>
    <row r="23" spans="2:18" x14ac:dyDescent="0.2">
      <c r="B23" s="566"/>
      <c r="E23" s="552"/>
      <c r="F23" s="552"/>
      <c r="G23" s="814">
        <v>45076</v>
      </c>
      <c r="H23" s="555" t="s">
        <v>2679</v>
      </c>
      <c r="K23" s="555"/>
      <c r="L23" s="555"/>
      <c r="O23" s="553"/>
    </row>
    <row r="24" spans="2:18" ht="12.75" customHeight="1" x14ac:dyDescent="0.2">
      <c r="B24" s="566"/>
      <c r="E24" s="552"/>
      <c r="F24" s="552"/>
      <c r="G24" s="814"/>
      <c r="K24" s="555"/>
      <c r="L24" s="555"/>
      <c r="O24" s="548" t="s">
        <v>2541</v>
      </c>
      <c r="R24" s="553"/>
    </row>
    <row r="25" spans="2:18" ht="12.75" customHeight="1" x14ac:dyDescent="0.2">
      <c r="B25" s="566"/>
      <c r="E25" s="552"/>
      <c r="F25" s="552"/>
      <c r="G25" s="814"/>
      <c r="H25" s="555"/>
      <c r="K25" s="555"/>
      <c r="L25" s="555"/>
      <c r="O25" s="548" t="s">
        <v>2758</v>
      </c>
      <c r="R25" s="553"/>
    </row>
    <row r="26" spans="2:18" x14ac:dyDescent="0.2">
      <c r="B26" s="566"/>
      <c r="C26" s="548">
        <f>C16+1+20</f>
        <v>24</v>
      </c>
      <c r="D26" s="548" t="s">
        <v>2502</v>
      </c>
      <c r="E26" s="552"/>
      <c r="F26" s="552"/>
      <c r="G26" s="588">
        <v>45077</v>
      </c>
      <c r="H26" s="555"/>
      <c r="K26" s="555"/>
      <c r="L26" s="555"/>
      <c r="O26" s="548" t="s">
        <v>2811</v>
      </c>
      <c r="R26" s="553"/>
    </row>
    <row r="27" spans="2:18" x14ac:dyDescent="0.2">
      <c r="B27" s="566"/>
      <c r="G27" s="587">
        <v>45078</v>
      </c>
      <c r="H27" s="555"/>
      <c r="K27" s="555"/>
      <c r="L27" s="555"/>
      <c r="O27" s="548" t="s">
        <v>2812</v>
      </c>
    </row>
    <row r="28" spans="2:18" x14ac:dyDescent="0.2">
      <c r="B28" s="566"/>
      <c r="E28" s="557" t="s">
        <v>2525</v>
      </c>
      <c r="F28" s="554" t="s">
        <v>1866</v>
      </c>
      <c r="G28" s="587">
        <v>45079</v>
      </c>
      <c r="H28" s="555"/>
      <c r="K28" s="555"/>
      <c r="L28" s="555"/>
      <c r="M28" s="548">
        <f>M16-C26</f>
        <v>114</v>
      </c>
      <c r="N28" s="548" t="s">
        <v>2515</v>
      </c>
    </row>
    <row r="29" spans="2:18" x14ac:dyDescent="0.2">
      <c r="B29" s="566"/>
      <c r="E29" s="557"/>
      <c r="F29" s="554"/>
      <c r="G29" s="587"/>
      <c r="H29" s="555"/>
      <c r="K29" s="555"/>
      <c r="L29" s="555"/>
    </row>
    <row r="30" spans="2:18" x14ac:dyDescent="0.2">
      <c r="B30" s="566"/>
      <c r="E30" s="554"/>
      <c r="G30" s="561">
        <v>45104</v>
      </c>
      <c r="H30" s="555"/>
      <c r="K30" s="555"/>
      <c r="L30" s="555"/>
      <c r="O30" s="548" t="s">
        <v>2726</v>
      </c>
    </row>
    <row r="31" spans="2:18" x14ac:dyDescent="0.2">
      <c r="B31" s="566"/>
      <c r="C31" s="548">
        <f>113+1</f>
        <v>114</v>
      </c>
      <c r="D31" s="548" t="s">
        <v>2502</v>
      </c>
      <c r="G31" s="561">
        <v>45105</v>
      </c>
      <c r="H31" s="555"/>
      <c r="K31" s="555"/>
      <c r="L31" s="555"/>
      <c r="O31" s="548" t="s">
        <v>2511</v>
      </c>
    </row>
    <row r="32" spans="2:18" x14ac:dyDescent="0.2">
      <c r="B32" s="566"/>
      <c r="G32" s="561">
        <v>45106</v>
      </c>
      <c r="H32" s="555"/>
      <c r="K32" s="555"/>
      <c r="L32" s="555"/>
      <c r="O32" s="548" t="s">
        <v>2519</v>
      </c>
    </row>
    <row r="33" spans="2:15" x14ac:dyDescent="0.2">
      <c r="B33" s="566"/>
      <c r="E33" s="589" t="s">
        <v>2508</v>
      </c>
      <c r="F33" s="589" t="s">
        <v>2509</v>
      </c>
      <c r="G33" s="561">
        <v>45107</v>
      </c>
      <c r="H33" s="555"/>
      <c r="K33" s="555"/>
      <c r="L33" s="555"/>
    </row>
    <row r="34" spans="2:15" x14ac:dyDescent="0.2">
      <c r="H34" s="555"/>
      <c r="K34" s="555"/>
      <c r="L34" s="555"/>
    </row>
    <row r="35" spans="2:15" x14ac:dyDescent="0.2">
      <c r="H35" s="555"/>
      <c r="K35" s="555"/>
      <c r="L35" s="555"/>
      <c r="N35" s="569">
        <v>10000</v>
      </c>
      <c r="O35" s="568" t="s">
        <v>2510</v>
      </c>
    </row>
    <row r="36" spans="2:15" x14ac:dyDescent="0.2">
      <c r="N36" s="570">
        <f>3.78%-2.5%</f>
        <v>1.2799999999999999E-2</v>
      </c>
      <c r="O36" s="568" t="s">
        <v>2507</v>
      </c>
    </row>
    <row r="37" spans="2:15" x14ac:dyDescent="0.2">
      <c r="N37" s="571">
        <f>N35*N36/12</f>
        <v>10.666666666666666</v>
      </c>
      <c r="O37" s="568" t="s">
        <v>2506</v>
      </c>
    </row>
  </sheetData>
  <mergeCells count="21">
    <mergeCell ref="G23:G25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2023-05-03T10:40:30Z</dcterms:modified>
</cp:coreProperties>
</file>