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CED2F72-F705-4E54-B2EA-3322C47A6A0C}" xr6:coauthVersionLast="47" xr6:coauthVersionMax="47" xr10:uidLastSave="{00000000-0000-0000-0000-000000000000}"/>
  <bookViews>
    <workbookView xWindow="0" yWindow="0" windowWidth="13875" windowHeight="21600" activeTab="3" xr2:uid="{D4D1A54F-01AE-4300-8644-B16194D9355C}"/>
  </bookViews>
  <sheets>
    <sheet name="Fli2pm 200k" sheetId="6" r:id="rId1"/>
    <sheet name="Fli2pm" sheetId="5" r:id="rId2"/>
    <sheet name="LTIS" sheetId="2" r:id="rId3"/>
    <sheet name="overlap ptf" sheetId="4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G12" i="4"/>
  <c r="G24" i="4" s="1"/>
  <c r="G9" i="4"/>
  <c r="A13" i="2"/>
  <c r="G23" i="4"/>
  <c r="G8" i="4"/>
  <c r="G27" i="4"/>
  <c r="D11" i="2"/>
  <c r="G21" i="4"/>
  <c r="A8" i="1"/>
  <c r="D10" i="5"/>
  <c r="D11" i="6"/>
  <c r="F6" i="4"/>
  <c r="K10" i="4" s="1"/>
  <c r="D4" i="4"/>
  <c r="D11" i="5"/>
  <c r="L3" i="5"/>
  <c r="D6" i="5"/>
  <c r="D3" i="5"/>
  <c r="D24" i="6"/>
  <c r="D23" i="6"/>
  <c r="D22" i="6"/>
  <c r="D18" i="6"/>
  <c r="D17" i="6"/>
  <c r="D16" i="6"/>
  <c r="D12" i="6"/>
  <c r="D10" i="6"/>
  <c r="D9" i="6"/>
  <c r="G6" i="6"/>
  <c r="D21" i="6" s="1"/>
  <c r="D6" i="6"/>
  <c r="A6" i="6"/>
  <c r="L5" i="6"/>
  <c r="L4" i="6"/>
  <c r="D4" i="6"/>
  <c r="J3" i="6"/>
  <c r="D3" i="6"/>
  <c r="D28" i="6" s="1"/>
  <c r="G4" i="2"/>
  <c r="J3" i="5"/>
  <c r="F7" i="4"/>
  <c r="D7" i="4" s="1"/>
  <c r="F17" i="4"/>
  <c r="D17" i="4" s="1"/>
  <c r="D4" i="5"/>
  <c r="F13" i="4" l="1"/>
  <c r="D13" i="4" s="1"/>
  <c r="F32" i="4"/>
  <c r="K33" i="4" s="1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A13" i="6"/>
  <c r="D25" i="6"/>
  <c r="A8" i="6"/>
  <c r="D20" i="6"/>
  <c r="A28" i="6" s="1"/>
  <c r="D26" i="6"/>
  <c r="D13" i="6"/>
  <c r="A19" i="6" s="1"/>
  <c r="A12" i="6"/>
  <c r="L6" i="6"/>
  <c r="D19" i="6"/>
  <c r="D27" i="6"/>
  <c r="A7" i="6"/>
  <c r="D14" i="6"/>
  <c r="A24" i="6" s="1"/>
  <c r="L3" i="6"/>
  <c r="A9" i="6"/>
  <c r="A15" i="6"/>
  <c r="A21" i="6"/>
  <c r="A4" i="6"/>
  <c r="D15" i="6"/>
  <c r="A10" i="6"/>
  <c r="B28" i="6"/>
  <c r="A5" i="6"/>
  <c r="A11" i="6"/>
  <c r="A17" i="6"/>
  <c r="A23" i="6"/>
  <c r="D9" i="5"/>
  <c r="G31" i="4"/>
  <c r="D31" i="4" s="1"/>
  <c r="D32" i="4" l="1"/>
  <c r="F24" i="4"/>
  <c r="A26" i="6"/>
  <c r="A16" i="6"/>
  <c r="A25" i="6"/>
  <c r="A18" i="6"/>
  <c r="A20" i="6"/>
  <c r="A22" i="6"/>
  <c r="A14" i="6"/>
  <c r="A27" i="6"/>
  <c r="A5" i="5"/>
  <c r="D28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A7" i="5" l="1"/>
  <c r="L6" i="5"/>
  <c r="L4" i="5"/>
  <c r="L5" i="5"/>
  <c r="D13" i="5"/>
  <c r="D19" i="5"/>
  <c r="D27" i="5"/>
  <c r="D23" i="5"/>
  <c r="D20" i="5"/>
  <c r="D12" i="5"/>
  <c r="D24" i="5"/>
  <c r="D15" i="5"/>
  <c r="D16" i="5"/>
  <c r="D17" i="5"/>
  <c r="D25" i="5"/>
  <c r="D26" i="5"/>
  <c r="D21" i="5"/>
  <c r="D22" i="5"/>
  <c r="D14" i="5"/>
  <c r="D18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4" i="5"/>
  <c r="A6" i="5"/>
  <c r="A24" i="5"/>
  <c r="A8" i="5"/>
  <c r="A11" i="5"/>
  <c r="A13" i="5"/>
  <c r="A21" i="5"/>
  <c r="A20" i="5"/>
  <c r="A10" i="5"/>
  <c r="A9" i="5"/>
  <c r="A27" i="5"/>
  <c r="A12" i="5"/>
  <c r="A19" i="5"/>
  <c r="A25" i="5"/>
  <c r="A15" i="5"/>
  <c r="A28" i="5"/>
  <c r="A16" i="5"/>
  <c r="A18" i="5"/>
  <c r="A22" i="5"/>
  <c r="A26" i="5"/>
  <c r="A17" i="5"/>
  <c r="A23" i="5"/>
  <c r="B28" i="5"/>
  <c r="E5" i="4"/>
  <c r="E25" i="4" s="1"/>
  <c r="E10" i="4"/>
  <c r="C7" i="3"/>
  <c r="C9" i="3" s="1"/>
  <c r="D11" i="4" l="1"/>
  <c r="G25" i="4"/>
  <c r="B4" i="4"/>
  <c r="E24" i="4"/>
  <c r="D5" i="4"/>
  <c r="B5" i="4" s="1"/>
  <c r="K14" i="4" s="1"/>
  <c r="D10" i="4"/>
  <c r="D13" i="2"/>
  <c r="D12" i="2"/>
  <c r="B31" i="4" l="1"/>
  <c r="B37" i="4"/>
  <c r="B30" i="4"/>
  <c r="B32" i="4"/>
  <c r="B29" i="4"/>
  <c r="B27" i="4"/>
  <c r="B33" i="4"/>
  <c r="B36" i="4"/>
  <c r="B28" i="4"/>
  <c r="B35" i="4"/>
  <c r="B38" i="4"/>
  <c r="B34" i="4"/>
  <c r="B15" i="4"/>
  <c r="B8" i="4"/>
  <c r="B23" i="4"/>
  <c r="B20" i="4"/>
  <c r="B14" i="4"/>
  <c r="B13" i="4"/>
  <c r="K13" i="4" s="1"/>
  <c r="K15" i="4" s="1"/>
  <c r="B9" i="4"/>
  <c r="B12" i="4"/>
  <c r="B10" i="4"/>
  <c r="B18" i="4"/>
  <c r="B11" i="4"/>
  <c r="B7" i="4"/>
  <c r="B21" i="4"/>
  <c r="B6" i="4"/>
  <c r="B16" i="4"/>
  <c r="B22" i="4"/>
  <c r="B19" i="4"/>
  <c r="B17" i="4"/>
  <c r="D15" i="2"/>
  <c r="D28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C8" i="1" l="1"/>
  <c r="C7" i="1"/>
  <c r="D6" i="2"/>
  <c r="D5" i="2"/>
  <c r="D8" i="2"/>
  <c r="D9" i="2"/>
  <c r="D10" i="2"/>
  <c r="D4" i="2"/>
  <c r="B13" i="2" l="1"/>
  <c r="A15" i="2"/>
  <c r="A17" i="2"/>
  <c r="A23" i="2"/>
  <c r="A9" i="2"/>
  <c r="A5" i="2"/>
  <c r="A29" i="2"/>
  <c r="A21" i="2"/>
  <c r="A7" i="2"/>
  <c r="A28" i="2"/>
  <c r="A24" i="2"/>
  <c r="A27" i="2"/>
  <c r="A26" i="2"/>
  <c r="A10" i="2"/>
  <c r="A20" i="2"/>
  <c r="A19" i="2"/>
  <c r="A22" i="2"/>
  <c r="A18" i="2"/>
  <c r="A6" i="2"/>
  <c r="A8" i="2"/>
  <c r="A4" i="2"/>
  <c r="A12" i="2"/>
  <c r="A16" i="2"/>
  <c r="A11" i="2"/>
  <c r="A25" i="2"/>
  <c r="C3" i="1"/>
  <c r="C5" i="1" s="1"/>
  <c r="C6" i="1" l="1"/>
  <c r="C10" i="1"/>
</calcChain>
</file>

<file path=xl/sharedStrings.xml><?xml version="1.0" encoding="utf-8"?>
<sst xmlns="http://schemas.openxmlformats.org/spreadsheetml/2006/main" count="77" uniqueCount="52">
  <si>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</si>
  <si>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</si>
  <si>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</si>
  <si>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</si>
  <si>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</si>
  <si>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</si>
  <si>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</si>
  <si>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</si>
  <si>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</si>
  <si>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</si>
  <si>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</si>
  <si>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</si>
  <si>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12M TD excess profit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</si>
  <si>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</si>
  <si>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</si>
  <si>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</si>
  <si>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</si>
  <si>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</si>
  <si>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</si>
  <si>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</si>
  <si>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</si>
  <si>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</si>
  <si>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</si>
  <si>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</si>
  <si>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</si>
  <si>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</si>
  <si>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</si>
  <si>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</si>
  <si>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</si>
  <si>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</si>
  <si>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</si>
  <si>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</si>
  <si>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</si>
  <si>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</si>
  <si>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end2end profix #cf other 3 tabs:</t>
  </si>
  <si>
    <t>keep -0.01 to satisfy xirr</t>
  </si>
  <si>
    <t>net payout rate</t>
  </si>
  <si>
    <t>LTIS</t>
  </si>
  <si>
    <t>XIRR 不适合FLI2PF</t>
  </si>
  <si>
    <t>net inc</t>
  </si>
  <si>
    <t>annual FCF, while keeping 210k liquid  in FLI2PF and LTIS</t>
  </si>
  <si>
    <t>net inc end-to-end excluding 210k nest egg</t>
  </si>
  <si>
    <t>$4512 bonus</t>
  </si>
  <si>
    <t>30M int 
#当作Nov26缴</t>
  </si>
  <si>
    <t>FLI2PF 首付</t>
  </si>
  <si>
    <t>12mTD excess profit</t>
  </si>
  <si>
    <t>capital deployed</t>
  </si>
  <si>
    <t>watermark of outlay</t>
  </si>
  <si>
    <t>capital 2b earmarked</t>
  </si>
  <si>
    <t>redeem FLI2</t>
  </si>
  <si>
    <t>redeem FLI2PF</t>
  </si>
  <si>
    <t>redeem LTIS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</si>
</sst>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/yy;@"/>
    <numFmt numFmtId="165" formatCode="&quot;$&quot;#,##0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7" fontId="0" fillId="0" borderId="1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L31"/>
  <sheetViews>
    <sheetView topLeftCell="B1" workbookViewId="0">
      <selection activeCell="D11" sqref="D11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13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-28%*G4</f>
        <v>-56000.000000000007</v>
      </c>
      <c r="E3" t="s">
        <v>18</v>
      </c>
      <c r="I3" s="2"/>
      <c r="J3">
        <f>5/12</f>
        <v>0.41666666666666669</v>
      </c>
      <c r="K3" s="2">
        <v>2.75E-2</v>
      </c>
      <c r="L3" s="9">
        <f>G6*J3*K3</f>
        <v>1650</v>
      </c>
    </row>
    <row r="4" spans="1:12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17</v>
      </c>
      <c r="F4" t="s">
        <v>14</v>
      </c>
      <c r="G4" s="7">
        <v>200000</v>
      </c>
      <c r="J4">
        <v>1</v>
      </c>
      <c r="K4" s="2">
        <v>2.5499999999999998E-2</v>
      </c>
      <c r="L4" s="9">
        <f>G6*J4*K4</f>
        <v>3671.9999999999995</v>
      </c>
    </row>
    <row r="5" spans="1:12" x14ac:dyDescent="0.25">
      <c r="A5" s="5">
        <f>SUM($D$3:D5)</f>
        <v>-53260.000000000007</v>
      </c>
      <c r="B5" s="2"/>
      <c r="F5" t="s">
        <v>21</v>
      </c>
      <c r="G5" s="2">
        <v>0.02</v>
      </c>
      <c r="L5">
        <f>G6*(J3*K3+J4*K4)</f>
        <v>5321.9999999999991</v>
      </c>
    </row>
    <row r="6" spans="1:12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16</v>
      </c>
      <c r="F6" t="s">
        <v>22</v>
      </c>
      <c r="G6" s="7">
        <f>G4+D3</f>
        <v>144000</v>
      </c>
      <c r="J6">
        <v>1</v>
      </c>
      <c r="K6" s="11">
        <v>0.02</v>
      </c>
      <c r="L6" s="9">
        <f>G6*J6*K6</f>
        <v>2880</v>
      </c>
    </row>
    <row r="7" spans="1:12" x14ac:dyDescent="0.25">
      <c r="A7" s="5">
        <f>SUM($D$3:D7)</f>
        <v>-61462.000000000007</v>
      </c>
      <c r="B7" s="2"/>
      <c r="F7" t="s">
        <v>20</v>
      </c>
      <c r="G7" s="2">
        <v>0.02</v>
      </c>
    </row>
    <row r="8" spans="1:12" x14ac:dyDescent="0.25">
      <c r="A8" s="5">
        <f>SUM($D$3:D8)</f>
        <v>-61462.000000000007</v>
      </c>
      <c r="B8" s="2"/>
      <c r="F8" t="s">
        <v>23</v>
      </c>
      <c r="G8" s="2">
        <v>1.37E-2</v>
      </c>
    </row>
    <row r="9" spans="1:12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15</v>
      </c>
      <c r="F9" s="6"/>
      <c r="G9" s="6"/>
    </row>
    <row r="10" spans="1:12" x14ac:dyDescent="0.25">
      <c r="A10" s="5">
        <f>SUM($D$3:D10)</f>
        <v>958</v>
      </c>
      <c r="B10" s="2"/>
      <c r="C10" s="3">
        <v>46419</v>
      </c>
      <c r="D10" s="5">
        <f>-$D$3</f>
        <v>56000.000000000007</v>
      </c>
      <c r="E10" s="6" t="s">
        <v>19</v>
      </c>
    </row>
    <row r="11" spans="1:12" x14ac:dyDescent="0.25">
      <c r="A11" s="5">
        <f>SUM($D$3:D11)</f>
        <v>4497.9999999999991</v>
      </c>
      <c r="B11" s="2"/>
      <c r="C11" s="3">
        <v>46784</v>
      </c>
      <c r="D11">
        <f t="shared" ref="D11:D27" si="0">3.21%*$G$4-$G$7*$G$6</f>
        <v>3539.9999999999991</v>
      </c>
      <c r="F11" s="8"/>
      <c r="G11" s="8"/>
      <c r="H11" s="8"/>
      <c r="I11" s="8"/>
      <c r="J11" s="8"/>
    </row>
    <row r="12" spans="1:12" x14ac:dyDescent="0.25">
      <c r="A12" s="5">
        <f>SUM($D$3:D12)</f>
        <v>8037.9999999999982</v>
      </c>
      <c r="B12" s="2"/>
      <c r="C12" s="3">
        <v>47150</v>
      </c>
      <c r="D12">
        <f t="shared" si="0"/>
        <v>3539.9999999999991</v>
      </c>
      <c r="F12" s="8"/>
      <c r="G12" s="8"/>
      <c r="H12" s="8"/>
      <c r="I12" s="8"/>
      <c r="J12" s="8"/>
    </row>
    <row r="13" spans="1:12" x14ac:dyDescent="0.25">
      <c r="A13" s="5">
        <f>SUM($D$3:D13)</f>
        <v>11577.999999999996</v>
      </c>
      <c r="B13" s="2"/>
      <c r="C13" s="3">
        <v>47515</v>
      </c>
      <c r="D13">
        <f t="shared" si="0"/>
        <v>3539.9999999999991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15117.999999999996</v>
      </c>
      <c r="B14" s="2"/>
      <c r="C14" s="3">
        <v>47880</v>
      </c>
      <c r="D14">
        <f t="shared" si="0"/>
        <v>3539.9999999999991</v>
      </c>
    </row>
    <row r="15" spans="1:12" x14ac:dyDescent="0.25">
      <c r="A15" s="5">
        <f>SUM($D$3:D15)</f>
        <v>18657.999999999996</v>
      </c>
      <c r="B15" s="2"/>
      <c r="C15" s="3">
        <v>48245</v>
      </c>
      <c r="D15">
        <f t="shared" si="0"/>
        <v>3539.9999999999991</v>
      </c>
    </row>
    <row r="16" spans="1:12" x14ac:dyDescent="0.25">
      <c r="A16" s="5">
        <f>SUM($D$3:D16)</f>
        <v>22197.999999999996</v>
      </c>
      <c r="B16" s="2"/>
      <c r="C16" s="3">
        <v>48611</v>
      </c>
      <c r="D16">
        <f t="shared" si="0"/>
        <v>3539.9999999999991</v>
      </c>
    </row>
    <row r="17" spans="1:7" x14ac:dyDescent="0.25">
      <c r="A17" s="5">
        <f>SUM($D$3:D17)</f>
        <v>25737.999999999996</v>
      </c>
      <c r="B17" s="2"/>
      <c r="C17" s="3">
        <v>48976</v>
      </c>
      <c r="D17">
        <f t="shared" si="0"/>
        <v>3539.9999999999991</v>
      </c>
    </row>
    <row r="18" spans="1:7" x14ac:dyDescent="0.25">
      <c r="A18" s="5">
        <f>SUM($D$3:D18)</f>
        <v>29277.999999999996</v>
      </c>
      <c r="B18" s="2"/>
      <c r="C18" s="3">
        <v>49341</v>
      </c>
      <c r="D18">
        <f t="shared" si="0"/>
        <v>3539.9999999999991</v>
      </c>
    </row>
    <row r="19" spans="1:7" x14ac:dyDescent="0.25">
      <c r="A19" s="5">
        <f>SUM($D$3:D19)</f>
        <v>32817.999999999993</v>
      </c>
      <c r="B19" s="2"/>
      <c r="C19" s="3">
        <v>49706</v>
      </c>
      <c r="D19">
        <f t="shared" si="0"/>
        <v>3539.9999999999991</v>
      </c>
    </row>
    <row r="20" spans="1:7" x14ac:dyDescent="0.25">
      <c r="A20" s="5">
        <f>SUM($D$3:D20)</f>
        <v>36357.999999999993</v>
      </c>
      <c r="B20" s="2"/>
      <c r="C20" s="3">
        <v>50072</v>
      </c>
      <c r="D20">
        <f t="shared" si="0"/>
        <v>3539.9999999999991</v>
      </c>
    </row>
    <row r="21" spans="1:7" x14ac:dyDescent="0.25">
      <c r="A21" s="5">
        <f>SUM($D$3:D21)</f>
        <v>39897.999999999993</v>
      </c>
      <c r="B21" s="2"/>
      <c r="C21" s="3">
        <v>50437</v>
      </c>
      <c r="D21">
        <f t="shared" si="0"/>
        <v>3539.9999999999991</v>
      </c>
    </row>
    <row r="22" spans="1:7" x14ac:dyDescent="0.25">
      <c r="A22" s="5">
        <f>SUM($D$3:D22)</f>
        <v>43437.999999999993</v>
      </c>
      <c r="B22" s="2"/>
      <c r="C22" s="3">
        <v>50802</v>
      </c>
      <c r="D22">
        <f t="shared" si="0"/>
        <v>3539.9999999999991</v>
      </c>
    </row>
    <row r="23" spans="1:7" x14ac:dyDescent="0.25">
      <c r="A23" s="5">
        <f>SUM($D$3:D23)</f>
        <v>46977.999999999993</v>
      </c>
      <c r="B23" s="2"/>
      <c r="C23" s="3">
        <v>51167</v>
      </c>
      <c r="D23">
        <f t="shared" si="0"/>
        <v>3539.9999999999991</v>
      </c>
    </row>
    <row r="24" spans="1:7" x14ac:dyDescent="0.25">
      <c r="A24" s="5">
        <f>SUM($D$3:D24)</f>
        <v>50517.999999999993</v>
      </c>
      <c r="B24" s="2"/>
      <c r="C24" s="3">
        <v>51533</v>
      </c>
      <c r="D24">
        <f t="shared" si="0"/>
        <v>3539.9999999999991</v>
      </c>
    </row>
    <row r="25" spans="1:7" x14ac:dyDescent="0.25">
      <c r="A25" s="5">
        <f>SUM($D$3:D25)</f>
        <v>54057.999999999993</v>
      </c>
      <c r="B25" s="2"/>
      <c r="C25" s="3">
        <v>51898</v>
      </c>
      <c r="D25">
        <f t="shared" si="0"/>
        <v>3539.9999999999991</v>
      </c>
    </row>
    <row r="26" spans="1:7" x14ac:dyDescent="0.25">
      <c r="A26" s="5">
        <f>SUM($D$3:D26)</f>
        <v>57597.999999999993</v>
      </c>
      <c r="B26" s="2"/>
      <c r="C26" s="3">
        <v>52263</v>
      </c>
      <c r="D26">
        <f t="shared" si="0"/>
        <v>3539.9999999999991</v>
      </c>
    </row>
    <row r="27" spans="1:7" x14ac:dyDescent="0.25">
      <c r="A27" s="5">
        <f>SUM($D$3:D27)</f>
        <v>61137.999999999993</v>
      </c>
      <c r="B27" s="2"/>
      <c r="C27" s="3">
        <v>52628</v>
      </c>
      <c r="D27">
        <f t="shared" si="0"/>
        <v>3539.9999999999991</v>
      </c>
      <c r="F27" s="6"/>
      <c r="G27" s="6"/>
    </row>
    <row r="28" spans="1:7" x14ac:dyDescent="0.25">
      <c r="A28" s="5">
        <f>SUM($D$3:D28)</f>
        <v>117138</v>
      </c>
      <c r="B28" s="2">
        <f>XIRR(D3:D28,C3:C28)</f>
        <v>0.16009600758552556</v>
      </c>
      <c r="C28" s="3">
        <v>52628</v>
      </c>
      <c r="D28" s="5">
        <f>-$D$3</f>
        <v>56000.000000000007</v>
      </c>
      <c r="E28" s="6" t="s">
        <v>19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13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-24%*G4</f>
        <v>-60000</v>
      </c>
      <c r="E3" t="s">
        <v>18</v>
      </c>
      <c r="I3" s="2"/>
      <c r="J3">
        <f>5/12</f>
        <v>0.41666666666666669</v>
      </c>
      <c r="K3" s="2">
        <v>2.5600000000000001E-2</v>
      </c>
      <c r="L3" s="9">
        <f>G6*J3*K3</f>
        <v>2026.666666666667</v>
      </c>
    </row>
    <row r="4" spans="1:12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17</v>
      </c>
      <c r="F4" t="s">
        <v>14</v>
      </c>
      <c r="G4" s="7">
        <v>250000</v>
      </c>
      <c r="J4">
        <v>1</v>
      </c>
      <c r="K4" s="2">
        <v>2.3599999999999999E-2</v>
      </c>
      <c r="L4" s="9">
        <f>G6*J4*K4</f>
        <v>4484</v>
      </c>
    </row>
    <row r="5" spans="1:12" x14ac:dyDescent="0.25">
      <c r="A5" s="5">
        <f>SUM($D$3:D5)</f>
        <v>-56575</v>
      </c>
      <c r="B5" s="2"/>
      <c r="F5" t="s">
        <v>21</v>
      </c>
      <c r="G5" s="2">
        <v>0.03</v>
      </c>
      <c r="L5">
        <f>G6*(J3*K3+J4*K4)</f>
        <v>6510.666666666667</v>
      </c>
    </row>
    <row r="6" spans="1:12" x14ac:dyDescent="0.25">
      <c r="A6" s="5">
        <f>SUM($D$3:D6)</f>
        <v>-68785</v>
      </c>
      <c r="B6" s="2"/>
      <c r="C6" s="3">
        <v>45962</v>
      </c>
      <c r="D6">
        <f>-(6510+G6*G5)</f>
        <v>-12210</v>
      </c>
      <c r="E6" t="s">
        <v>16</v>
      </c>
      <c r="F6" t="s">
        <v>22</v>
      </c>
      <c r="G6" s="7">
        <f>G4+D3</f>
        <v>190000</v>
      </c>
      <c r="J6">
        <v>1</v>
      </c>
      <c r="K6" s="11">
        <v>0.02</v>
      </c>
      <c r="L6" s="9">
        <f>G6*J6*K6</f>
        <v>3800</v>
      </c>
    </row>
    <row r="7" spans="1:12" x14ac:dyDescent="0.25">
      <c r="A7" s="5">
        <f>SUM($D$3:D7)</f>
        <v>-68785</v>
      </c>
      <c r="B7" s="2"/>
      <c r="F7" t="s">
        <v>20</v>
      </c>
      <c r="G7" s="2">
        <v>0.02</v>
      </c>
    </row>
    <row r="8" spans="1:12" x14ac:dyDescent="0.25">
      <c r="A8" s="5">
        <f>SUM($D$3:D8)</f>
        <v>-68785</v>
      </c>
      <c r="B8" s="2"/>
      <c r="F8" t="s">
        <v>23</v>
      </c>
      <c r="G8" s="2">
        <v>1.37E-2</v>
      </c>
    </row>
    <row r="9" spans="1:12" x14ac:dyDescent="0.25">
      <c r="A9" s="5">
        <f>SUM($D$3:D9)</f>
        <v>-60760</v>
      </c>
      <c r="B9" s="2"/>
      <c r="C9" s="3">
        <v>46419</v>
      </c>
      <c r="D9">
        <f>3.21%*$G$4</f>
        <v>8024.9999999999991</v>
      </c>
      <c r="E9" t="s">
        <v>15</v>
      </c>
      <c r="F9" s="6"/>
      <c r="G9" s="6"/>
    </row>
    <row r="10" spans="1:12" x14ac:dyDescent="0.25">
      <c r="A10" s="5">
        <f>SUM($D$3:D10)</f>
        <v>-760</v>
      </c>
      <c r="B10" s="2"/>
      <c r="C10" s="3">
        <v>46419</v>
      </c>
      <c r="D10" s="5">
        <f>-$D$3</f>
        <v>60000</v>
      </c>
      <c r="E10" s="6" t="s">
        <v>27</v>
      </c>
    </row>
    <row r="11" spans="1:12" x14ac:dyDescent="0.25">
      <c r="A11" s="5">
        <f>SUM($D$3:D11)</f>
        <v>3464.9999999999991</v>
      </c>
      <c r="B11" s="2"/>
      <c r="C11" s="3">
        <v>46784</v>
      </c>
      <c r="D11">
        <f t="shared" ref="D11:D27" si="0">3.21%*$G$4-$G$7*$G$6</f>
        <v>4224.9999999999991</v>
      </c>
      <c r="F11" s="8"/>
      <c r="G11" s="8"/>
      <c r="H11" s="8"/>
      <c r="I11" s="8"/>
      <c r="J11" s="8"/>
    </row>
    <row r="12" spans="1:12" x14ac:dyDescent="0.25">
      <c r="A12" s="5">
        <f>SUM($D$3:D12)</f>
        <v>7689.9999999999982</v>
      </c>
      <c r="B12" s="2"/>
      <c r="C12" s="3">
        <v>47150</v>
      </c>
      <c r="D12">
        <f t="shared" si="0"/>
        <v>4224.9999999999991</v>
      </c>
      <c r="F12" s="8"/>
      <c r="G12" s="8"/>
      <c r="H12" s="8"/>
      <c r="I12" s="8"/>
      <c r="J12" s="8"/>
    </row>
    <row r="13" spans="1:12" x14ac:dyDescent="0.25">
      <c r="A13" s="5">
        <f>SUM($D$3:D13)</f>
        <v>11914.999999999996</v>
      </c>
      <c r="B13" s="2"/>
      <c r="C13" s="3">
        <v>47515</v>
      </c>
      <c r="D13">
        <f t="shared" si="0"/>
        <v>4224.9999999999991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16139.999999999996</v>
      </c>
      <c r="B14" s="2"/>
      <c r="C14" s="3">
        <v>47880</v>
      </c>
      <c r="D14">
        <f t="shared" si="0"/>
        <v>4224.9999999999991</v>
      </c>
    </row>
    <row r="15" spans="1:12" x14ac:dyDescent="0.25">
      <c r="A15" s="5">
        <f>SUM($D$3:D15)</f>
        <v>20364.999999999996</v>
      </c>
      <c r="B15" s="2"/>
      <c r="C15" s="3">
        <v>48245</v>
      </c>
      <c r="D15">
        <f t="shared" si="0"/>
        <v>4224.9999999999991</v>
      </c>
    </row>
    <row r="16" spans="1:12" x14ac:dyDescent="0.25">
      <c r="A16" s="5">
        <f>SUM($D$3:D16)</f>
        <v>24589.999999999996</v>
      </c>
      <c r="B16" s="2"/>
      <c r="C16" s="3">
        <v>48611</v>
      </c>
      <c r="D16">
        <f t="shared" si="0"/>
        <v>4224.9999999999991</v>
      </c>
    </row>
    <row r="17" spans="1:7" x14ac:dyDescent="0.25">
      <c r="A17" s="5">
        <f>SUM($D$3:D17)</f>
        <v>28814.999999999996</v>
      </c>
      <c r="B17" s="2"/>
      <c r="C17" s="3">
        <v>48976</v>
      </c>
      <c r="D17">
        <f t="shared" si="0"/>
        <v>4224.9999999999991</v>
      </c>
    </row>
    <row r="18" spans="1:7" x14ac:dyDescent="0.25">
      <c r="A18" s="5">
        <f>SUM($D$3:D18)</f>
        <v>33039.999999999993</v>
      </c>
      <c r="B18" s="2"/>
      <c r="C18" s="3">
        <v>49341</v>
      </c>
      <c r="D18">
        <f t="shared" si="0"/>
        <v>4224.9999999999991</v>
      </c>
    </row>
    <row r="19" spans="1:7" x14ac:dyDescent="0.25">
      <c r="A19" s="5">
        <f>SUM($D$3:D19)</f>
        <v>37264.999999999993</v>
      </c>
      <c r="B19" s="2"/>
      <c r="C19" s="3">
        <v>49706</v>
      </c>
      <c r="D19">
        <f t="shared" si="0"/>
        <v>4224.9999999999991</v>
      </c>
    </row>
    <row r="20" spans="1:7" x14ac:dyDescent="0.25">
      <c r="A20" s="5">
        <f>SUM($D$3:D20)</f>
        <v>41489.999999999993</v>
      </c>
      <c r="B20" s="2"/>
      <c r="C20" s="3">
        <v>50072</v>
      </c>
      <c r="D20">
        <f t="shared" si="0"/>
        <v>4224.9999999999991</v>
      </c>
    </row>
    <row r="21" spans="1:7" x14ac:dyDescent="0.25">
      <c r="A21" s="5">
        <f>SUM($D$3:D21)</f>
        <v>45714.999999999993</v>
      </c>
      <c r="B21" s="2"/>
      <c r="C21" s="3">
        <v>50437</v>
      </c>
      <c r="D21">
        <f t="shared" si="0"/>
        <v>4224.9999999999991</v>
      </c>
    </row>
    <row r="22" spans="1:7" x14ac:dyDescent="0.25">
      <c r="A22" s="5">
        <f>SUM($D$3:D22)</f>
        <v>49939.999999999993</v>
      </c>
      <c r="B22" s="2"/>
      <c r="C22" s="3">
        <v>50802</v>
      </c>
      <c r="D22">
        <f t="shared" si="0"/>
        <v>4224.9999999999991</v>
      </c>
    </row>
    <row r="23" spans="1:7" x14ac:dyDescent="0.25">
      <c r="A23" s="5">
        <f>SUM($D$3:D23)</f>
        <v>54164.999999999993</v>
      </c>
      <c r="B23" s="2"/>
      <c r="C23" s="3">
        <v>51167</v>
      </c>
      <c r="D23">
        <f t="shared" si="0"/>
        <v>4224.9999999999991</v>
      </c>
    </row>
    <row r="24" spans="1:7" x14ac:dyDescent="0.25">
      <c r="A24" s="5">
        <f>SUM($D$3:D24)</f>
        <v>58389.999999999993</v>
      </c>
      <c r="B24" s="2"/>
      <c r="C24" s="3">
        <v>51533</v>
      </c>
      <c r="D24">
        <f t="shared" si="0"/>
        <v>4224.9999999999991</v>
      </c>
    </row>
    <row r="25" spans="1:7" x14ac:dyDescent="0.25">
      <c r="A25" s="5">
        <f>SUM($D$3:D25)</f>
        <v>62614.999999999993</v>
      </c>
      <c r="B25" s="2"/>
      <c r="C25" s="3">
        <v>51898</v>
      </c>
      <c r="D25">
        <f t="shared" si="0"/>
        <v>4224.9999999999991</v>
      </c>
    </row>
    <row r="26" spans="1:7" x14ac:dyDescent="0.25">
      <c r="A26" s="5">
        <f>SUM($D$3:D26)</f>
        <v>66839.999999999985</v>
      </c>
      <c r="B26" s="2"/>
      <c r="C26" s="3">
        <v>52263</v>
      </c>
      <c r="D26">
        <f t="shared" si="0"/>
        <v>4224.9999999999991</v>
      </c>
    </row>
    <row r="27" spans="1:7" x14ac:dyDescent="0.25">
      <c r="A27" s="5">
        <f>SUM($D$3:D27)</f>
        <v>71064.999999999985</v>
      </c>
      <c r="B27" s="2"/>
      <c r="C27" s="3">
        <v>52628</v>
      </c>
      <c r="D27">
        <f t="shared" si="0"/>
        <v>4224.9999999999991</v>
      </c>
      <c r="F27" s="6"/>
      <c r="G27" s="6"/>
    </row>
    <row r="28" spans="1:7" x14ac:dyDescent="0.25">
      <c r="A28" s="5">
        <f>SUM($D$3:D28)</f>
        <v>131064.99999999999</v>
      </c>
      <c r="B28" s="2">
        <f>XIRR(D3:D28,C3:C28)</f>
        <v>0.16061307787895202</v>
      </c>
      <c r="C28" s="3">
        <v>52628</v>
      </c>
      <c r="D28" s="5">
        <f>-$D$3</f>
        <v>60000</v>
      </c>
      <c r="E28" s="6" t="s">
        <v>27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3:G29"/>
  <sheetViews>
    <sheetView workbookViewId="0">
      <selection activeCell="D8" sqref="D8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24" bestFit="1" customWidth="1"/>
  </cols>
  <sheetData>
    <row r="3" spans="1:7" x14ac:dyDescent="0.25">
      <c r="A3" t="s">
        <v>13</v>
      </c>
      <c r="B3" t="s">
        <v>6</v>
      </c>
      <c r="C3" s="4"/>
      <c r="D3" s="20" t="s">
        <v>2</v>
      </c>
    </row>
    <row r="4" spans="1:7" x14ac:dyDescent="0.25">
      <c r="A4" s="5">
        <f>SUM($D$3:D4)</f>
        <v>-30078.95</v>
      </c>
      <c r="B4" s="2"/>
      <c r="C4" s="3">
        <v>45505</v>
      </c>
      <c r="D4" s="20">
        <f>-$G$4/5</f>
        <v>-30078.95</v>
      </c>
      <c r="F4" t="s">
        <v>10</v>
      </c>
      <c r="G4">
        <f>150394.75</f>
        <v>150394.75</v>
      </c>
    </row>
    <row r="5" spans="1:7" x14ac:dyDescent="0.25">
      <c r="A5" s="5">
        <f>SUM($D$3:D5)</f>
        <v>-27371.844499999999</v>
      </c>
      <c r="B5" s="2"/>
      <c r="C5" s="3">
        <v>45566</v>
      </c>
      <c r="D5" s="20">
        <f>1.8%*G4</f>
        <v>2707.1055000000001</v>
      </c>
      <c r="E5" t="s">
        <v>3</v>
      </c>
      <c r="G5" s="5"/>
    </row>
    <row r="6" spans="1:7" x14ac:dyDescent="0.25">
      <c r="A6" s="5">
        <f>SUM($D$3:D6)</f>
        <v>-57450.794500000004</v>
      </c>
      <c r="B6" s="2"/>
      <c r="C6" s="3">
        <v>45870</v>
      </c>
      <c r="D6" s="20">
        <f>-$G$4/5</f>
        <v>-30078.95</v>
      </c>
    </row>
    <row r="7" spans="1:7" x14ac:dyDescent="0.25">
      <c r="A7" s="5">
        <f>SUM($D$3:D7)</f>
        <v>-55871.649625000005</v>
      </c>
      <c r="B7" s="2"/>
      <c r="C7" s="3">
        <v>45870</v>
      </c>
      <c r="D7" s="20">
        <f>(0.0425-0.032)*G4</f>
        <v>1579.1448750000004</v>
      </c>
      <c r="E7" t="s">
        <v>12</v>
      </c>
    </row>
    <row r="8" spans="1:7" x14ac:dyDescent="0.25">
      <c r="A8" s="5">
        <f>SUM($D$3:D8)</f>
        <v>-85950.599625000003</v>
      </c>
      <c r="B8" s="2"/>
      <c r="C8" s="3">
        <v>46235</v>
      </c>
      <c r="D8" s="20">
        <f>-$G$4/5</f>
        <v>-30078.95</v>
      </c>
    </row>
    <row r="9" spans="1:7" x14ac:dyDescent="0.25">
      <c r="A9" s="5">
        <f>SUM($D$3:D9)</f>
        <v>-116029.549625</v>
      </c>
      <c r="B9" s="2"/>
      <c r="C9" s="3">
        <v>46600</v>
      </c>
      <c r="D9" s="20">
        <f>-$G$4/5</f>
        <v>-30078.95</v>
      </c>
    </row>
    <row r="10" spans="1:7" x14ac:dyDescent="0.25">
      <c r="A10" s="5">
        <f>SUM($D$3:D10)</f>
        <v>-146108.499625</v>
      </c>
      <c r="B10" s="2"/>
      <c r="C10" s="3">
        <v>46966</v>
      </c>
      <c r="D10" s="20">
        <f>-$G$4/5</f>
        <v>-30078.95</v>
      </c>
    </row>
    <row r="11" spans="1:7" x14ac:dyDescent="0.25">
      <c r="A11" s="5">
        <f>SUM($D$3:D11)</f>
        <v>-141008.6136525</v>
      </c>
      <c r="B11" s="2"/>
      <c r="C11" s="3">
        <v>47331</v>
      </c>
      <c r="D11" s="20">
        <f>$G$4*0.03391</f>
        <v>5099.8859725000002</v>
      </c>
      <c r="E11" t="s">
        <v>8</v>
      </c>
    </row>
    <row r="12" spans="1:7" x14ac:dyDescent="0.25">
      <c r="A12" s="5">
        <f>SUM($D$3:D12)</f>
        <v>-136496.7711525</v>
      </c>
      <c r="B12" s="2"/>
      <c r="C12" s="3">
        <v>47331</v>
      </c>
      <c r="D12" s="20">
        <f>G4*3%</f>
        <v>4511.8424999999997</v>
      </c>
      <c r="E12" t="s">
        <v>11</v>
      </c>
    </row>
    <row r="13" spans="1:7" x14ac:dyDescent="0.25">
      <c r="A13" s="5">
        <f>SUM($D$3:D13)</f>
        <v>13897.978847499995</v>
      </c>
      <c r="B13" s="2">
        <f>XIRR($D$4:D13,$C$4:C13)</f>
        <v>3.0880984663963319E-2</v>
      </c>
      <c r="C13" s="3">
        <v>47331</v>
      </c>
      <c r="D13" s="20">
        <f>G4</f>
        <v>150394.75</v>
      </c>
      <c r="E13" t="s">
        <v>9</v>
      </c>
    </row>
    <row r="14" spans="1:7" x14ac:dyDescent="0.25">
      <c r="A14" s="5"/>
      <c r="B14" s="2"/>
    </row>
    <row r="15" spans="1:7" x14ac:dyDescent="0.25">
      <c r="A15" s="5">
        <f>SUM($D$3:D15)</f>
        <v>18996.360872499994</v>
      </c>
      <c r="B15" s="2"/>
      <c r="C15" s="3">
        <v>47696</v>
      </c>
      <c r="D15" s="20">
        <f t="shared" ref="D15:D29" si="0">$G$4*0.0339</f>
        <v>5098.3820249999999</v>
      </c>
    </row>
    <row r="16" spans="1:7" x14ac:dyDescent="0.25">
      <c r="A16" s="5">
        <f>SUM($D$3:D16)</f>
        <v>24094.742897499993</v>
      </c>
      <c r="B16" s="2"/>
      <c r="C16" s="3">
        <v>48061</v>
      </c>
      <c r="D16" s="20">
        <f t="shared" si="0"/>
        <v>5098.3820249999999</v>
      </c>
    </row>
    <row r="17" spans="1:4" x14ac:dyDescent="0.25">
      <c r="A17" s="5">
        <f>SUM($D$3:D17)</f>
        <v>29193.124922499992</v>
      </c>
      <c r="B17" s="2"/>
      <c r="C17" s="3">
        <v>48427</v>
      </c>
      <c r="D17" s="20">
        <f t="shared" si="0"/>
        <v>5098.3820249999999</v>
      </c>
    </row>
    <row r="18" spans="1:4" x14ac:dyDescent="0.25">
      <c r="A18" s="5">
        <f>SUM($D$3:D18)</f>
        <v>34291.506947499991</v>
      </c>
      <c r="B18" s="2"/>
      <c r="C18" s="3">
        <v>48792</v>
      </c>
      <c r="D18" s="20">
        <f t="shared" si="0"/>
        <v>5098.3820249999999</v>
      </c>
    </row>
    <row r="19" spans="1:4" x14ac:dyDescent="0.25">
      <c r="A19" s="5">
        <f>SUM($D$3:D19)</f>
        <v>39389.88897249999</v>
      </c>
      <c r="B19" s="2"/>
      <c r="C19" s="3">
        <v>49157</v>
      </c>
      <c r="D19" s="20">
        <f t="shared" si="0"/>
        <v>5098.3820249999999</v>
      </c>
    </row>
    <row r="20" spans="1:4" x14ac:dyDescent="0.25">
      <c r="A20" s="5">
        <f>SUM($D$3:D20)</f>
        <v>44488.270997499989</v>
      </c>
      <c r="B20" s="2"/>
      <c r="C20" s="3">
        <v>49522</v>
      </c>
      <c r="D20" s="20">
        <f t="shared" si="0"/>
        <v>5098.3820249999999</v>
      </c>
    </row>
    <row r="21" spans="1:4" x14ac:dyDescent="0.25">
      <c r="A21" s="5">
        <f>SUM($D$3:D21)</f>
        <v>49586.653022499988</v>
      </c>
      <c r="B21" s="2"/>
      <c r="C21" s="3">
        <v>49888</v>
      </c>
      <c r="D21" s="20">
        <f t="shared" si="0"/>
        <v>5098.3820249999999</v>
      </c>
    </row>
    <row r="22" spans="1:4" x14ac:dyDescent="0.25">
      <c r="A22" s="5">
        <f>SUM($D$3:D22)</f>
        <v>54685.035047499987</v>
      </c>
      <c r="B22" s="2"/>
      <c r="C22" s="3">
        <v>50253</v>
      </c>
      <c r="D22" s="20">
        <f t="shared" si="0"/>
        <v>5098.3820249999999</v>
      </c>
    </row>
    <row r="23" spans="1:4" x14ac:dyDescent="0.25">
      <c r="A23" s="5">
        <f>SUM($D$3:D23)</f>
        <v>59783.417072499986</v>
      </c>
      <c r="B23" s="2"/>
      <c r="C23" s="3">
        <v>50618</v>
      </c>
      <c r="D23" s="20">
        <f t="shared" si="0"/>
        <v>5098.3820249999999</v>
      </c>
    </row>
    <row r="24" spans="1:4" x14ac:dyDescent="0.25">
      <c r="A24" s="5">
        <f>SUM($D$3:D24)</f>
        <v>64881.799097499985</v>
      </c>
      <c r="B24" s="2"/>
      <c r="C24" s="3">
        <v>50983</v>
      </c>
      <c r="D24" s="20">
        <f t="shared" si="0"/>
        <v>5098.3820249999999</v>
      </c>
    </row>
    <row r="25" spans="1:4" x14ac:dyDescent="0.25">
      <c r="A25" s="5">
        <f>SUM($D$3:D25)</f>
        <v>69980.181122499984</v>
      </c>
      <c r="B25" s="2"/>
      <c r="C25" s="3">
        <v>51349</v>
      </c>
      <c r="D25" s="20">
        <f t="shared" si="0"/>
        <v>5098.3820249999999</v>
      </c>
    </row>
    <row r="26" spans="1:4" x14ac:dyDescent="0.25">
      <c r="A26" s="5">
        <f>SUM($D$3:D26)</f>
        <v>75078.563147499983</v>
      </c>
      <c r="B26" s="2"/>
      <c r="C26" s="3">
        <v>51714</v>
      </c>
      <c r="D26" s="20">
        <f t="shared" si="0"/>
        <v>5098.3820249999999</v>
      </c>
    </row>
    <row r="27" spans="1:4" x14ac:dyDescent="0.25">
      <c r="A27" s="5">
        <f>SUM($D$3:D27)</f>
        <v>80176.945172499982</v>
      </c>
      <c r="B27" s="2"/>
      <c r="C27" s="3">
        <v>52079</v>
      </c>
      <c r="D27" s="20">
        <f t="shared" si="0"/>
        <v>5098.3820249999999</v>
      </c>
    </row>
    <row r="28" spans="1:4" x14ac:dyDescent="0.25">
      <c r="A28" s="5">
        <f>SUM($D$3:D28)</f>
        <v>85275.327197499981</v>
      </c>
      <c r="B28" s="2"/>
      <c r="C28" s="3">
        <v>52444</v>
      </c>
      <c r="D28" s="20">
        <f t="shared" si="0"/>
        <v>5098.3820249999999</v>
      </c>
    </row>
    <row r="29" spans="1:4" x14ac:dyDescent="0.25">
      <c r="A29" s="5">
        <f>SUM($D$3:D29)</f>
        <v>90373.70922249998</v>
      </c>
      <c r="B29" s="2"/>
      <c r="C29" s="3">
        <v>52810</v>
      </c>
      <c r="D29" s="20">
        <f t="shared" si="0"/>
        <v>5098.3820249999999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38"/>
  <sheetViews>
    <sheetView tabSelected="1" workbookViewId="0">
      <selection activeCell="H47" sqref="H4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8.855468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39</v>
      </c>
      <c r="C2" s="15"/>
      <c r="D2" s="14" t="s">
        <v>31</v>
      </c>
      <c r="E2" s="14" t="s">
        <v>28</v>
      </c>
      <c r="F2" s="14" t="s">
        <v>29</v>
      </c>
      <c r="G2" s="14" t="s">
        <v>37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35</v>
      </c>
      <c r="I3" s="8"/>
    </row>
    <row r="4" spans="2:11" x14ac:dyDescent="0.25">
      <c r="B4" s="14">
        <f>SUM($D$3:D4)</f>
        <v>-43936.676666666666</v>
      </c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33</v>
      </c>
      <c r="I4" s="8"/>
    </row>
    <row r="5" spans="2:11" x14ac:dyDescent="0.25">
      <c r="B5" s="14">
        <f>SUM($D$3:D5)</f>
        <v>-94002.343333333323</v>
      </c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SUM($D$3:D6)</f>
        <v>-154002.34333333332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44</v>
      </c>
      <c r="I6" s="8"/>
    </row>
    <row r="7" spans="2:11" x14ac:dyDescent="0.25">
      <c r="B7" s="14">
        <f>SUM($D$3:D7)</f>
        <v>-150577.34333333332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25</v>
      </c>
      <c r="I7" s="8"/>
      <c r="J7" t="s">
        <v>10</v>
      </c>
      <c r="K7" s="18">
        <v>150394.75</v>
      </c>
    </row>
    <row r="8" spans="2:11" x14ac:dyDescent="0.25">
      <c r="B8" s="14">
        <f>SUM($D$3:D8)</f>
        <v>-180656.29333333333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SUM($D$3:D9)</f>
        <v>-177949.18783333333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24</v>
      </c>
      <c r="I9" s="8"/>
      <c r="J9" t="s">
        <v>14</v>
      </c>
      <c r="K9" s="5">
        <v>250000</v>
      </c>
    </row>
    <row r="10" spans="2:11" x14ac:dyDescent="0.25">
      <c r="B10" s="14">
        <f>SUM($D$3:D10)</f>
        <v>-228014.85449999999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30</v>
      </c>
      <c r="K10" s="5">
        <f>K9+F6</f>
        <v>190000</v>
      </c>
    </row>
    <row r="11" spans="2:11" x14ac:dyDescent="0.25">
      <c r="B11" s="14">
        <f>SUM($D$3:D11)</f>
        <v>-258093.8045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32</v>
      </c>
      <c r="K11" s="2">
        <v>2.5000000000000001E-2</v>
      </c>
    </row>
    <row r="12" spans="2:11" x14ac:dyDescent="0.25">
      <c r="B12" s="14">
        <f>SUM($D$3:D12)</f>
        <v>-256514.659625</v>
      </c>
      <c r="C12" s="15">
        <v>45870</v>
      </c>
      <c r="D12" s="14">
        <f t="shared" si="0"/>
        <v>1579.1448750000004</v>
      </c>
      <c r="E12" s="14"/>
      <c r="F12" s="14"/>
      <c r="G12" s="14">
        <f>(0.0425-0.032)*K7</f>
        <v>1579.1448750000004</v>
      </c>
      <c r="H12" s="12" t="s">
        <v>45</v>
      </c>
      <c r="I12" s="8"/>
    </row>
    <row r="13" spans="2:11" ht="30" x14ac:dyDescent="0.25">
      <c r="B13" s="14">
        <f>SUM($D$3:D13)</f>
        <v>-267774.65962499997</v>
      </c>
      <c r="C13" s="15">
        <v>45962</v>
      </c>
      <c r="D13" s="14">
        <f t="shared" si="0"/>
        <v>-11260</v>
      </c>
      <c r="E13" s="14"/>
      <c r="F13" s="14">
        <f>-(6510+K10*K11)</f>
        <v>-11260</v>
      </c>
      <c r="G13" s="14"/>
      <c r="H13" s="25" t="s">
        <v>43</v>
      </c>
      <c r="I13" s="8"/>
      <c r="J13" s="25" t="s">
        <v>47</v>
      </c>
      <c r="K13" s="26">
        <f>B13</f>
        <v>-267774.65962499997</v>
      </c>
    </row>
    <row r="14" spans="2:11" x14ac:dyDescent="0.25">
      <c r="B14" s="14">
        <f>SUM($D$3:D14)</f>
        <v>-263301.79296499997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46</v>
      </c>
      <c r="K14" s="14">
        <f>B5</f>
        <v>-94002.343333333323</v>
      </c>
    </row>
    <row r="15" spans="2:11" x14ac:dyDescent="0.25">
      <c r="B15" s="14">
        <f>SUM($D$3:D15)</f>
        <v>-113104.79296499997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49</v>
      </c>
      <c r="I15" s="8"/>
      <c r="J15" s="12" t="s">
        <v>48</v>
      </c>
      <c r="K15" s="14">
        <f>K13-K14</f>
        <v>-173772.31629166665</v>
      </c>
    </row>
    <row r="16" spans="2:11" x14ac:dyDescent="0.25">
      <c r="B16" s="14">
        <f>SUM($D$3:D16)</f>
        <v>-143183.74296499998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SUM($D$3:D17)</f>
        <v>-135158.74296499998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26</v>
      </c>
      <c r="I17" s="8"/>
    </row>
    <row r="18" spans="2:11" x14ac:dyDescent="0.25">
      <c r="B18" s="14">
        <f>SUM($D$3:D18)</f>
        <v>-75158.742964999983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50</v>
      </c>
      <c r="I18" s="19"/>
    </row>
    <row r="19" spans="2:11" x14ac:dyDescent="0.25">
      <c r="B19" s="14">
        <f>SUM($D$3:D19)</f>
        <v>-105237.69296499998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SUM($D$3:D20)</f>
        <v>-135316.64296499998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SUM($D$3:D21)</f>
        <v>-130216.75699249998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SUM($D$3:D22)</f>
        <v>-125704.91449249999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42</v>
      </c>
      <c r="I22" s="8"/>
    </row>
    <row r="23" spans="2:11" ht="15.75" thickBot="1" x14ac:dyDescent="0.3">
      <c r="B23" s="23">
        <f>SUM($D$3:D23)</f>
        <v>24689.835507500015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51</v>
      </c>
      <c r="I23" s="8"/>
    </row>
    <row r="24" spans="2:11" ht="15.75" thickTop="1" x14ac:dyDescent="0.25">
      <c r="B24" s="27" t="s">
        <v>34</v>
      </c>
      <c r="C24" s="28"/>
      <c r="D24" s="29"/>
      <c r="E24" s="21">
        <f>SUM(E3:E23)</f>
        <v>10601.86666</v>
      </c>
      <c r="F24" s="21">
        <f>SUM(F3:F23)</f>
        <v>190</v>
      </c>
      <c r="G24" s="21">
        <f>SUM(G3:G23)</f>
        <v>13897.968847499986</v>
      </c>
      <c r="H24" s="12"/>
      <c r="I24" s="8"/>
    </row>
    <row r="25" spans="2:11" x14ac:dyDescent="0.25">
      <c r="B25" s="30"/>
      <c r="C25" s="31"/>
      <c r="D25" s="32"/>
      <c r="E25" s="16">
        <f>XIRR(E3:E23,C3:C23)</f>
        <v>3.9722254872322102E-2</v>
      </c>
      <c r="F25" s="16"/>
      <c r="G25" s="16">
        <f>XIRR($G$3:G23,$C$3:C23)</f>
        <v>3.0880960822105407E-2</v>
      </c>
      <c r="H25" s="12" t="s">
        <v>38</v>
      </c>
      <c r="I25" s="8"/>
    </row>
    <row r="26" spans="2:11" x14ac:dyDescent="0.25">
      <c r="B26" s="12" t="s">
        <v>41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SUM($D$3:D27)-$F$18-SUM($G$22:$G$23)</f>
        <v>-185116.87101999999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3" t="s">
        <v>40</v>
      </c>
      <c r="I27" s="8"/>
    </row>
    <row r="28" spans="2:11" x14ac:dyDescent="0.25">
      <c r="B28" s="14">
        <f>SUM($D$3:D28)-$F$18-SUM($G$22:$G$23)</f>
        <v>-180016.9850475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4"/>
      <c r="I28" s="8"/>
    </row>
    <row r="29" spans="2:11" x14ac:dyDescent="0.25">
      <c r="B29" s="14">
        <f>SUM($D$3:D29)-$F$18-SUM($G$22:$G$23)</f>
        <v>-174917.09907499998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4"/>
      <c r="I29" s="8"/>
    </row>
    <row r="30" spans="2:11" x14ac:dyDescent="0.25">
      <c r="B30" s="14">
        <f>SUM($D$3:D30)-$F$18-SUM($G$22:$G$23)</f>
        <v>-169817.21310249998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4"/>
      <c r="I30" s="8"/>
    </row>
    <row r="31" spans="2:11" x14ac:dyDescent="0.25">
      <c r="B31" s="14">
        <f>SUM($D$3:D31)-$F$18-SUM($G$22:$G$23)</f>
        <v>-164717.32712999999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4"/>
      <c r="I31" s="8"/>
    </row>
    <row r="32" spans="2:11" x14ac:dyDescent="0.25">
      <c r="B32" s="14">
        <f>SUM($D$3:D32)-$F$18-SUM($G$22:$G$23)</f>
        <v>-160492.32712999999</v>
      </c>
      <c r="C32" s="13">
        <v>46784</v>
      </c>
      <c r="D32" s="14">
        <f t="shared" si="0"/>
        <v>4224.9999999999991</v>
      </c>
      <c r="E32" s="14"/>
      <c r="F32" s="12">
        <f t="shared" ref="F32:F38" si="1">3.21%*$K$9-$K$10*$K$32</f>
        <v>4224.9999999999991</v>
      </c>
      <c r="G32" s="14"/>
      <c r="H32" s="34"/>
      <c r="I32" s="8"/>
      <c r="J32" t="s">
        <v>20</v>
      </c>
      <c r="K32" s="2">
        <v>0.02</v>
      </c>
    </row>
    <row r="33" spans="2:11" x14ac:dyDescent="0.25">
      <c r="B33" s="14">
        <f>SUM($D$3:D33)-$F$18-SUM($G$22:$G$23)</f>
        <v>-156267.32712999999</v>
      </c>
      <c r="C33" s="13">
        <v>47150</v>
      </c>
      <c r="D33" s="14">
        <f t="shared" si="0"/>
        <v>4224.9999999999991</v>
      </c>
      <c r="E33" s="14"/>
      <c r="F33" s="12">
        <f t="shared" si="1"/>
        <v>4224.9999999999991</v>
      </c>
      <c r="G33" s="14"/>
      <c r="H33" s="34"/>
      <c r="I33" s="8"/>
      <c r="J33" t="s">
        <v>36</v>
      </c>
      <c r="K33" s="24">
        <f>-F32/F6</f>
        <v>7.0416666666666655E-2</v>
      </c>
    </row>
    <row r="34" spans="2:11" x14ac:dyDescent="0.25">
      <c r="B34" s="14">
        <f>SUM($D$3:D34)-$F$18-SUM($G$22:$G$23)</f>
        <v>-152042.32712999999</v>
      </c>
      <c r="C34" s="13">
        <v>47515</v>
      </c>
      <c r="D34" s="14">
        <f t="shared" si="0"/>
        <v>4224.9999999999991</v>
      </c>
      <c r="E34" s="14"/>
      <c r="F34" s="12">
        <f t="shared" si="1"/>
        <v>4224.9999999999991</v>
      </c>
      <c r="G34" s="14"/>
      <c r="H34" s="34"/>
      <c r="I34" s="8"/>
    </row>
    <row r="35" spans="2:11" x14ac:dyDescent="0.25">
      <c r="B35" s="14">
        <f>SUM($D$3:D35)-$F$18-SUM($G$22:$G$23)</f>
        <v>-147817.32712999999</v>
      </c>
      <c r="C35" s="13">
        <v>47880</v>
      </c>
      <c r="D35" s="14">
        <f t="shared" si="0"/>
        <v>4224.9999999999991</v>
      </c>
      <c r="E35" s="14"/>
      <c r="F35" s="12">
        <f t="shared" si="1"/>
        <v>4224.9999999999991</v>
      </c>
      <c r="G35" s="14"/>
      <c r="H35" s="34"/>
      <c r="I35" s="8"/>
    </row>
    <row r="36" spans="2:11" x14ac:dyDescent="0.25">
      <c r="B36" s="14">
        <f>SUM($D$3:D36)-$F$18-SUM($G$22:$G$23)</f>
        <v>-143592.32712999999</v>
      </c>
      <c r="C36" s="13">
        <v>48245</v>
      </c>
      <c r="D36" s="14">
        <f t="shared" si="0"/>
        <v>4224.9999999999991</v>
      </c>
      <c r="E36" s="14"/>
      <c r="F36" s="12">
        <f t="shared" si="1"/>
        <v>4224.9999999999991</v>
      </c>
      <c r="G36" s="14"/>
      <c r="H36" s="34"/>
      <c r="I36" s="8"/>
    </row>
    <row r="37" spans="2:11" x14ac:dyDescent="0.25">
      <c r="B37" s="14">
        <f>SUM($D$3:D37)-$F$18-SUM($G$22:$G$23)</f>
        <v>-139367.32712999999</v>
      </c>
      <c r="C37" s="13">
        <v>48611</v>
      </c>
      <c r="D37" s="14">
        <f t="shared" si="0"/>
        <v>4224.9999999999991</v>
      </c>
      <c r="E37" s="14"/>
      <c r="F37" s="12">
        <f t="shared" si="1"/>
        <v>4224.9999999999991</v>
      </c>
      <c r="G37" s="14"/>
      <c r="H37" s="34"/>
      <c r="I37" s="8"/>
    </row>
    <row r="38" spans="2:11" x14ac:dyDescent="0.25">
      <c r="B38" s="14">
        <f>SUM($D$3:D38)-$F$18-SUM($G$22:$G$23)</f>
        <v>-135142.32712999999</v>
      </c>
      <c r="C38" s="13">
        <v>48976</v>
      </c>
      <c r="D38" s="14">
        <f t="shared" si="0"/>
        <v>4224.9999999999991</v>
      </c>
      <c r="E38" s="14"/>
      <c r="F38" s="12">
        <f t="shared" si="1"/>
        <v>4224.9999999999991</v>
      </c>
      <c r="G38" s="14"/>
      <c r="H38" s="35"/>
      <c r="I38" s="8"/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26" sqref="H2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13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6" spans="1:6" x14ac:dyDescent="0.25">
      <c r="B6" s="4">
        <v>45717</v>
      </c>
      <c r="C6">
        <f>C3</f>
        <v>-50065.666666666664</v>
      </c>
    </row>
    <row r="7" spans="1:6" x14ac:dyDescent="0.25">
      <c r="B7" s="4">
        <v>46082</v>
      </c>
      <c r="C7">
        <f>2.978%*F3</f>
        <v>4472.8666599999997</v>
      </c>
      <c r="D7" t="s">
        <v>4</v>
      </c>
    </row>
    <row r="8" spans="1:6" x14ac:dyDescent="0.25">
      <c r="A8" s="5">
        <f>SUM(C3:C8)</f>
        <v>10601.86666</v>
      </c>
      <c r="B8" s="4">
        <v>46082</v>
      </c>
      <c r="C8">
        <f>F3</f>
        <v>150197</v>
      </c>
    </row>
    <row r="10" spans="1:6" x14ac:dyDescent="0.25">
      <c r="B10" s="4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2:C9"/>
  <sheetViews>
    <sheetView workbookViewId="0">
      <selection activeCell="J10" sqref="J10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3" x14ac:dyDescent="0.25">
      <c r="C2" t="s">
        <v>2</v>
      </c>
    </row>
    <row r="3" spans="2:3" x14ac:dyDescent="0.25">
      <c r="B3" s="1">
        <v>44986</v>
      </c>
      <c r="C3">
        <v>-100</v>
      </c>
    </row>
    <row r="4" spans="2:3" x14ac:dyDescent="0.25">
      <c r="B4" s="1">
        <v>45352</v>
      </c>
      <c r="C4">
        <v>3</v>
      </c>
    </row>
    <row r="5" spans="2:3" x14ac:dyDescent="0.25">
      <c r="B5" s="1">
        <v>45717</v>
      </c>
      <c r="C5">
        <v>3</v>
      </c>
    </row>
    <row r="6" spans="2:3" x14ac:dyDescent="0.25">
      <c r="B6" s="1">
        <v>46082</v>
      </c>
      <c r="C6">
        <v>3</v>
      </c>
    </row>
    <row r="7" spans="2:3" x14ac:dyDescent="0.25">
      <c r="B7" s="1">
        <v>46082</v>
      </c>
      <c r="C7">
        <f>-C3</f>
        <v>100</v>
      </c>
    </row>
    <row r="9" spans="2:3" x14ac:dyDescent="0.25">
      <c r="B9" t="s">
        <v>1</v>
      </c>
      <c r="C9" s="2">
        <f>XIRR(C3:C7,B3:B7)</f>
        <v>2.9971399903297419E-2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Fli2pm 200k</vt:lpstr>
      <vt:lpstr>Fli2pm</vt:lpstr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2024-08-16T12:32:36Z</dcterms:modified>
</cp:coreProperties>
</file>