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4449DE6-1CE4-4382-90C7-7BD74FC76D42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G30" i="42" l="1"/>
  <c r="H30" i="42"/>
  <c r="F30" i="42"/>
  <c r="H28" i="42"/>
  <c r="I30" i="42"/>
  <c r="A17" i="42"/>
  <c r="A18" i="42"/>
  <c r="A19" i="42"/>
  <c r="A32" i="42" s="1"/>
  <c r="A20" i="42"/>
  <c r="A21" i="42"/>
  <c r="A22" i="42"/>
  <c r="A23" i="42"/>
  <c r="A24" i="42"/>
  <c r="A25" i="42"/>
  <c r="A26" i="42"/>
  <c r="A27" i="42"/>
  <c r="A28" i="42"/>
  <c r="A29" i="42"/>
  <c r="A30" i="42"/>
  <c r="A31" i="42"/>
  <c r="A16" i="42"/>
  <c r="JQ5" i="32"/>
  <c r="G28" i="42" l="1"/>
  <c r="F28" i="42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<sst xmlns="http://schemas.openxmlformats.org/spreadsheetml/2006/main" count="7036" uniqueCount="2831">
  <si>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</si>
  <si>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</si>
  <si>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</si>
  <si>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</si>
  <si>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</si>
  <si>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</si>
  <si>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</si>
  <si>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</si>
  <si>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</si>
  <si>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</si>
  <si>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</si>
  <si>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</si>
  <si>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</si>
  <si>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</si>
  <si>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</si>
  <si>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</si>
  <si>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</si>
  <si>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</si>
  <si>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</si>
  <si>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</si>
  <si>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</si>
  <si>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</si>
  <si>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</si>
  <si>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</si>
  <si>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</si>
  <si>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</si>
  <si>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</si>
  <si>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</si>
  <si>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</si>
  <si>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</si>
  <si>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</si>
  <si>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</si>
  <si>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</si>
  <si>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</si>
  <si>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</si>
  <si>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</si>
  <si>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</si>
  <si>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</si>
  <si>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</si>
  <si>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</si>
  <si>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</si>
  <si>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</si>
  <si>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</si>
  <si>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</si>
  <si>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</si>
  <si>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</si>
  <si>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</si>
  <si>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</si>
  <si>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</si>
  <si>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</si>
  <si>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</si>
  <si>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</si>
  <si>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</si>
  <si>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</si>
  <si>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</si>
  <si>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</si>
  <si>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</si>
  <si>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</si>
  <si>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</si>
  <si>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</si>
  <si>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</si>
  <si>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</si>
  <si>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</si>
  <si>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</si>
  <si>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</si>
  <si>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</si>
  <si>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</si>
  <si>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</si>
  <si>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</si>
  <si>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</si>
  <si>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</si>
  <si>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</si>
  <si>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</si>
  <si>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</si>
  <si>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</si>
  <si>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</si>
  <si>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</si>
  <si>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</si>
  <si>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</si>
  <si>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</si>
  <si>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</si>
  <si>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</si>
  <si>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</si>
  <si>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</si>
  <si>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</si>
  <si>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</si>
  <si>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</si>
  <si>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</si>
  <si>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</si>
  <si>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</si>
  <si>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</si>
  <si>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</si>
  <si>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</si>
  <si>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</si>
  <si>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</si>
  <si>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</si>
  <si>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</si>
  <si>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</si>
  <si>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</si>
  <si>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</si>
  <si>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</si>
  <si>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</si>
  <si>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</si>
  <si>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</si>
  <si>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</si>
  <si>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</si>
  <si>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</si>
  <si>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</si>
  <si>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</si>
  <si>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</si>
  <si>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</si>
  <si>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</si>
  <si>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</si>
  <si>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</si>
  <si>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</si>
  <si>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</si>
  <si>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</si>
  <si>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</si>
  <si>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</si>
  <si>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</si>
  <si>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</si>
  <si>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</si>
  <si>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</si>
  <si>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</si>
  <si>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</si>
  <si>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</si>
  <si>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</si>
  <si>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</si>
  <si>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</si>
  <si>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</si>
  <si>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</si>
  <si>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</si>
  <si>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</si>
  <si>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</si>
  <si>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</si>
  <si>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</si>
  <si>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</si>
  <si>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</si>
  <si>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</si>
  <si>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</si>
  <si>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</si>
  <si>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</si>
  <si>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</si>
  <si>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</si>
  <si>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</si>
  <si>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</si>
  <si>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</si>
  <si>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</si>
  <si>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</si>
  <si>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</si>
  <si>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</si>
  <si>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</si>
  <si>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</si>
  <si>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</si>
  <si>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</si>
  <si>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</si>
  <si>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</si>
  <si>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</si>
  <si>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</si>
  <si>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</si>
  <si>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</si>
  <si>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</si>
  <si>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</si>
  <si>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</si>
  <si>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</si>
  <si>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</si>
  <si>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</si>
  <si>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</si>
  <si>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</si>
  <si>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</si>
  <si>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</si>
  <si>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</si>
  <si>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</si>
  <si>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</si>
  <si>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</si>
  <si>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</si>
  <si>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</si>
  <si>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</si>
  <si>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</si>
  <si>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</si>
  <si>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</si>
  <si>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</si>
  <si>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</si>
  <si>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</si>
  <si>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</si>
  <si>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</si>
  <si>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</si>
  <si>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</si>
  <si>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</si>
  <si>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</si>
  <si>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</si>
  <si>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</si>
  <si>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</si>
  <si>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</si>
  <si>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</si>
  <si>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</si>
  <si>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</si>
  <si>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</si>
  <si>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</si>
  <si>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</si>
  <si>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</si>
  <si>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</si>
  <si>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</si>
  <si>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</si>
  <si>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</si>
  <si>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</si>
  <si>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</si>
  <si>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</si>
  <si>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</si>
  <si>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</si>
  <si>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</si>
  <si>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</si>
  <si>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</si>
  <si>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</si>
  <si>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</si>
  <si>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</si>
  <si>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</si>
  <si>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</si>
  <si>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</si>
  <si>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</si>
  <si>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</si>
  <si>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</si>
  <si>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</si>
  <si>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</si>
  <si>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</si>
  <si>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</si>
  <si>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</si>
  <si>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</si>
  <si>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</si>
  <si>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</si>
  <si>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</si>
  <si>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</si>
  <si>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</si>
  <si>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</si>
  <si>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</si>
  <si>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</si>
  <si>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</si>
  <si>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</si>
  <si>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</si>
  <si>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</si>
  <si>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</si>
  <si>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</si>
  <si>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</si>
  <si>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</si>
  <si>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</si>
  <si>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</si>
  <si>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</si>
  <si>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</si>
  <si>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</si>
  <si>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</si>
  <si>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</si>
  <si>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</si>
  <si>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</si>
  <si>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</si>
  <si>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</si>
  <si>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</si>
  <si>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</si>
  <si>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</si>
  <si>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</si>
  <si>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</si>
  <si>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</si>
  <si>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</si>
  <si>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</si>
  <si>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</si>
  <si>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</si>
  <si>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</si>
  <si>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</si>
  <si>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</si>
  <si>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</si>
  <si>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</si>
  <si>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</si>
  <si>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</si>
  <si>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</si>
  <si>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</si>
  <si>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</si>
  <si>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</si>
  <si>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</si>
  <si>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</si>
  <si>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</si>
  <si>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</si>
  <si>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</si>
  <si>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</si>
  <si>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</si>
  <si>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</si>
  <si>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</si>
  <si>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</si>
  <si>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</si>
  <si>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</si>
  <si>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</si>
  <si>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</si>
  <si>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</si>
  <si>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</si>
  <si>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</si>
  <si>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</si>
  <si>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</si>
  <si>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</si>
  <si>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</si>
  <si>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</si>
  <si>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</si>
  <si>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</si>
  <si>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</si>
  <si>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</si>
  <si>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</si>
  <si>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</si>
  <si>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</si>
  <si>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</si>
  <si>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</si>
  <si>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</si>
  <si>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</si>
  <si>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</si>
  <si>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</si>
  <si>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</si>
  <si>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</si>
  <si>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</si>
  <si>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</si>
  <si>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</si>
  <si>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</si>
  <si>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</si>
  <si>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</si>
  <si>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</si>
  <si>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</si>
  <si>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</si>
  <si>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</si>
  <si>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</si>
  <si>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</si>
  <si>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</si>
  <si>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</si>
  <si>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</si>
  <si>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</si>
  <si>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</si>
  <si>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</si>
  <si>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</si>
  <si>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</si>
  <si>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</si>
  <si>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</si>
  <si>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</si>
  <si>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</si>
  <si>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</si>
  <si>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</si>
  <si>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</si>
  <si>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</si>
  <si>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</si>
  <si>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</si>
  <si>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</si>
  <si>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</si>
  <si>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</si>
  <si>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</si>
  <si>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</si>
  <si>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</si>
  <si>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</si>
  <si>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</si>
  <si>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</si>
  <si>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</si>
  <si>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</si>
  <si>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</si>
  <si>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</si>
  <si>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</si>
  <si>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</si>
  <si>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</si>
  <si>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</si>
  <si>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</si>
  <si>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</si>
  <si>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</si>
  <si>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</si>
  <si>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</si>
  <si>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</si>
  <si>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</si>
  <si>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</si>
  <si>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</si>
  <si>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</si>
  <si>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</si>
  <si>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</si>
  <si>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</si>
  <si>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</si>
  <si>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</si>
  <si>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</si>
  <si>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</si>
  <si>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</si>
  <si>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</si>
  <si>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</si>
  <si>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</si>
  <si>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</si>
  <si>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</si>
  <si>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</si>
  <si>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</si>
  <si>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</si>
  <si>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</si>
  <si>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</si>
  <si>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</si>
  <si>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</si>
  <si>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</si>
  <si>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</si>
  <si>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</si>
  <si>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</si>
  <si>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</si>
  <si>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</si>
  <si>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</si>
  <si>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</si>
  <si>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</si>
  <si>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</si>
  <si>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</si>
  <si>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</si>
  <si>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</si>
  <si>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</si>
  <si>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</si>
  <si>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</si>
  <si>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</si>
  <si>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</si>
  <si>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</si>
  <si>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</si>
  <si>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</si>
  <si>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</si>
  <si>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</si>
  <si>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</si>
  <si>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</si>
  <si>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</si>
  <si>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</si>
  <si>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</si>
  <si>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</si>
  <si>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</si>
  <si>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</si>
  <si>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</si>
  <si>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</si>
  <si>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</si>
  <si>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</si>
  <si>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</si>
  <si>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</si>
  <si>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</si>
  <si>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</si>
  <si>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</si>
  <si>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</si>
  <si>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</si>
  <si>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</si>
  <si>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</si>
  <si>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</si>
  <si>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</si>
  <si>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</si>
  <si>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</si>
  <si>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</si>
  <si>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</si>
  <si>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</si>
  <si>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</si>
  <si>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</si>
  <si>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</si>
  <si>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</si>
  <si>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</si>
  <si>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</si>
  <si>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</si>
  <si>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</si>
  <si>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</si>
  <si>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</si>
  <si>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</si>
  <si>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</si>
  <si>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</si>
  <si>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</si>
  <si>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</si>
  <si>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</si>
  <si>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</si>
  <si>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</si>
  <si>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</si>
  <si>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</si>
  <si>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</si>
  <si>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</si>
  <si>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</si>
  <si>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</si>
  <si>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</si>
  <si>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</si>
  <si>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</si>
  <si>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</si>
  <si>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</si>
  <si>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</si>
  <si>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</si>
  <si>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</si>
  <si>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</si>
  <si>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</si>
  <si>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</si>
  <si>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</si>
  <si>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</si>
  <si>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</si>
  <si>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</si>
  <si>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</si>
  <si>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</si>
  <si>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</si>
  <si>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</si>
  <si>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</si>
  <si>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</si>
  <si>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</si>
  <si>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</si>
  <si>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</si>
  <si>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</si>
  <si>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</si>
  <si>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</si>
  <si>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</si>
  <si>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</si>
  <si>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</si>
  <si>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</si>
  <si>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</si>
  <si>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</si>
  <si>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</si>
  <si>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</si>
  <si>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</si>
  <si>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</si>
  <si>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</si>
  <si>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</si>
  <si>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</si>
  <si>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</si>
  <si>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</si>
  <si>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</si>
  <si>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</si>
  <si>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</si>
  <si>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</si>
  <si>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</si>
  <si>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</si>
  <si>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</si>
  <si>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</si>
  <si>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</si>
  <si>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</si>
  <si>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</si>
  <si>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</si>
  <si>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</si>
  <si>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</si>
  <si>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</si>
  <si>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</si>
  <si>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</si>
  <si>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</si>
  <si>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</si>
  <si>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</si>
  <si>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</si>
  <si>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</si>
  <si>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</si>
  <si>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</si>
  <si>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</si>
  <si>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</si>
  <si>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</si>
  <si>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</si>
  <si>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</si>
  <si>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</si>
  <si>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</si>
  <si>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</si>
  <si>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</si>
  <si>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</si>
  <si>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</si>
  <si>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</si>
  <si>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</si>
  <si>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</si>
  <si>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</si>
  <si>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</si>
  <si>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</si>
  <si>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</si>
  <si>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</si>
  <si>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</si>
  <si>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</si>
  <si>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</si>
  <si>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</si>
  <si>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</si>
  <si>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</si>
  <si>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</si>
  <si>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</si>
  <si>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</si>
  <si>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</si>
  <si>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</si>
  <si>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</si>
  <si>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</si>
  <si>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</si>
  <si>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</si>
  <si>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</si>
  <si>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</si>
  <si>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</si>
  <si>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</si>
  <si>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</si>
  <si>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</si>
  <si>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</si>
  <si>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</si>
  <si>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</si>
  <si>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</si>
  <si>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</si>
  <si>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</si>
  <si>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</si>
  <si>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</si>
  <si>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</si>
  <si>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</si>
  <si>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</si>
  <si>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</si>
  <si>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</si>
  <si>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</si>
  <si>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</si>
  <si>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</si>
  <si>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</si>
  <si>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</si>
  <si>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</si>
  <si>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</si>
  <si>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</si>
  <si>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</si>
  <si>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</si>
  <si>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</si>
  <si>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</si>
  <si>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</si>
  <si>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</si>
  <si>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</si>
  <si>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</si>
  <si>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</si>
  <si>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</si>
  <si>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</si>
  <si>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</si>
  <si>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</si>
  <si>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</si>
  <si>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</si>
  <si>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</si>
  <si>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</si>
  <si>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</si>
  <si>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</si>
  <si>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</si>
  <si>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</si>
  <si>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</si>
  <si>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</si>
  <si>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</si>
  <si>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</si>
  <si>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</si>
  <si>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</si>
  <si>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</si>
  <si>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</si>
  <si>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</si>
  <si>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</si>
  <si>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</si>
  <si>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</si>
  <si>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</si>
  <si>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</si>
  <si>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</si>
  <si>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</si>
  <si>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</si>
  <si>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</si>
  <si>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</si>
  <si>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</si>
  <si>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</si>
  <si>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</si>
  <si>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</si>
  <si>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</si>
  <si>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</si>
  <si>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</si>
  <si>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</si>
  <si>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</si>
  <si>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</si>
  <si>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</si>
  <si>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</si>
  <si>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</si>
  <si>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</si>
  <si>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</si>
  <si>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</si>
  <si>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</si>
  <si>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</si>
  <si>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</si>
  <si>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</si>
  <si>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</si>
  <si>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</si>
  <si>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</si>
  <si>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</si>
  <si>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</si>
  <si>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</si>
  <si>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</si>
  <si>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</si>
  <si>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</si>
  <si>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</si>
  <si>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</si>
  <si>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</si>
  <si>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</si>
  <si>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</si>
  <si>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</si>
  <si>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</si>
  <si>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</si>
  <si>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</si>
  <si>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</si>
  <si>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</si>
  <si>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</si>
  <si>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</si>
  <si>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</si>
  <si>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</si>
  <si>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</si>
  <si>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</si>
  <si>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</si>
  <si>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</si>
  <si>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</si>
  <si>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</si>
  <si>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</si>
  <si>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</si>
  <si>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</si>
  <si>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</si>
  <si>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</si>
  <si>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</si>
  <si>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</si>
  <si>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</si>
  <si>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</si>
  <si>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</si>
  <si>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</si>
  <si>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</si>
  <si>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</si>
  <si>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</si>
  <si>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</si>
  <si>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</si>
  <si>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</si>
  <si>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</si>
  <si>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</si>
  <si>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</si>
  <si>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</si>
  <si>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</si>
  <si>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</si>
  <si>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</si>
  <si>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</si>
  <si>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</si>
  <si>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</si>
  <si>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</si>
  <si>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</si>
  <si>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</si>
  <si>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</si>
  <si>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</si>
  <si>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</si>
  <si>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</si>
  <si>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</si>
  <si>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</si>
  <si>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</si>
  <si>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</si>
  <si>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</si>
  <si>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</si>
  <si>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</si>
  <si>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</si>
  <si>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</si>
  <si>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</si>
  <si>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</si>
  <si>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</si>
  <si>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</si>
  <si>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</si>
  <si>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</si>
  <si>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</si>
  <si>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</si>
  <si>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</si>
  <si>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</si>
  <si>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</si>
  <si>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</si>
  <si>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</si>
  <si>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</si>
  <si>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</si>
  <si>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</si>
  <si>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</si>
  <si>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</si>
  <si>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</si>
  <si>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</si>
  <si>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</si>
  <si>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</si>
  <si>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</si>
  <si>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</si>
  <si>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</si>
  <si>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</si>
  <si>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</si>
  <si>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</si>
  <si>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</si>
  <si>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</si>
  <si>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</si>
  <si>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</si>
  <si>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</si>
  <si>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</si>
  <si>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</si>
  <si>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</si>
  <si>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</si>
  <si>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</si>
  <si>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</si>
  <si>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</si>
  <si>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</si>
  <si>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</si>
  <si>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</si>
  <si>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</si>
  <si>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</si>
  <si>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</si>
  <si>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</si>
  <si>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</si>
  <si>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</si>
  <si>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</si>
  <si>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</si>
  <si>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</si>
  <si>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</si>
  <si>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</si>
  <si>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</si>
  <si>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</si>
  <si>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</si>
  <si>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</si>
  <si>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</si>
  <si>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</si>
  <si>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</si>
  <si>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</si>
  <si>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</si>
  <si>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</si>
  <si>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</si>
  <si>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</si>
  <si>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</si>
  <si>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</si>
  <si>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</si>
  <si>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</si>
  <si>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</si>
  <si>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</si>
  <si>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</si>
  <si>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</si>
  <si>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</si>
  <si>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</si>
  <si>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</si>
  <si>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</si>
  <si>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</si>
  <si>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</si>
  <si>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</si>
  <si>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</si>
  <si>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</si>
  <si>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</si>
  <si>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</si>
  <si>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</si>
  <si>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</si>
  <si>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</si>
  <si>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</si>
  <si>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</si>
  <si>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</si>
  <si>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</si>
  <si>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</si>
  <si>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</si>
  <si>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</si>
  <si>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</si>
  <si>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</si>
  <si>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</si>
  <si>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</si>
  <si>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</si>
  <si>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</si>
  <si>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</si>
  <si>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</si>
  <si>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</si>
  <si>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</si>
  <si>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</si>
  <si>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</si>
  <si>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</si>
  <si>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</si>
  <si>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</si>
  <si>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</si>
  <si>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</si>
  <si>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</si>
  <si>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</si>
  <si>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</si>
  <si>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</si>
  <si>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</si>
  <si>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</si>
  <si>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</si>
  <si>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</si>
  <si>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</si>
  <si>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</si>
  <si>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</si>
  <si>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</si>
  <si>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</si>
  <si>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</si>
  <si>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</si>
  <si>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</si>
  <si>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</si>
  <si>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</si>
  <si>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</si>
  <si>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</si>
  <si>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</si>
  <si>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</si>
  <si>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</si>
  <si>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</si>
  <si>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</si>
  <si>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</si>
  <si>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</si>
  <si>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</si>
  <si>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</si>
  <si>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</si>
  <si>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</si>
  <si>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</si>
  <si>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</si>
  <si>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</si>
  <si>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</si>
  <si>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</si>
  <si>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</si>
  <si>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</si>
  <si>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</si>
  <si>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</si>
  <si>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</si>
  <si>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</si>
  <si>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</si>
  <si>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</si>
  <si>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</si>
  <si>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</si>
  <si>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</si>
  <si>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</si>
  <si>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</si>
  <si>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</si>
  <si>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</si>
  <si>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</si>
  <si>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</si>
  <si>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</si>
  <si>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</si>
  <si>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</si>
  <si>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</si>
  <si>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</si>
  <si>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</si>
  <si>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</si>
  <si>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</si>
  <si>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</si>
  <si>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</si>
  <si>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</si>
  <si>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</si>
  <si>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</si>
  <si>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</si>
  <si>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</si>
  <si>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</si>
  <si>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</si>
  <si>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</si>
  <si>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</si>
  <si>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</si>
  <si>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</si>
  <si>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</si>
  <si>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</si>
  <si>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</si>
  <si>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</si>
  <si>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</si>
  <si>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</si>
  <si>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</si>
  <si>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</si>
  <si>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</si>
  <si>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</si>
  <si>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</si>
  <si>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</si>
  <si>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</si>
  <si>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</si>
  <si>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</si>
  <si>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</si>
  <si>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</si>
  <si>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</si>
  <si>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</si>
  <si>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</si>
  <si>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</si>
  <si>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</si>
  <si>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</si>
  <si>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</si>
  <si>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</si>
  <si>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</si>
  <si>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</si>
  <si>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</si>
  <si>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</si>
  <si>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</si>
  <si>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</si>
  <si>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</si>
  <si>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</si>
  <si>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</si>
  <si>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</si>
  <si>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</si>
  <si>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</si>
  <si>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</si>
  <si>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</si>
  <si>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</si>
  <si>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</si>
  <si>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</si>
  <si>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</si>
  <si>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</si>
  <si>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</si>
  <si>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</si>
  <si>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</si>
  <si>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</si>
  <si>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</si>
  <si>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</si>
  <si>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</si>
  <si>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</si>
  <si>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</si>
  <si>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</si>
  <si>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</si>
  <si>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</si>
  <si>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</si>
  <si>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</si>
  <si>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</si>
  <si>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</si>
  <si>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</si>
  <si>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</si>
  <si>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</si>
  <si>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</si>
  <si>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</si>
  <si>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</si>
  <si>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</si>
  <si>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</si>
  <si>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</si>
  <si>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</si>
  <si>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</si>
  <si>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</si>
  <si>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</si>
  <si>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</si>
  <si>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</si>
  <si>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</si>
  <si>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</si>
  <si>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</si>
  <si>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</si>
  <si>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</si>
  <si>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</si>
  <si>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</si>
  <si>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</si>
  <si>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</si>
  <si>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</si>
  <si>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</si>
  <si>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</si>
  <si>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</si>
  <si>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</si>
  <si>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</si>
  <si>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</si>
  <si>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</si>
  <si>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</si>
  <si>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</si>
  <si>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</si>
  <si>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</si>
  <si>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</si>
  <si>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</si>
  <si>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</si>
  <si>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</si>
  <si>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</si>
  <si>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</si>
  <si>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</si>
  <si>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</si>
  <si>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</si>
  <si>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</si>
  <si>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</si>
  <si>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</si>
  <si>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</si>
  <si>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</si>
  <si>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</si>
  <si>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</si>
  <si>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</si>
  <si>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</si>
  <si>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</si>
  <si>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</si>
  <si>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</si>
  <si>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</si>
  <si>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</si>
  <si>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</si>
  <si>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</si>
  <si>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</si>
  <si>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</si>
  <si>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</si>
  <si>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</si>
  <si>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</si>
  <si>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</si>
  <si>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</si>
  <si>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</si>
  <si>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</si>
  <si>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</si>
  <si>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</si>
  <si>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</si>
  <si>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</si>
  <si>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</si>
  <si>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</si>
  <si>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</si>
  <si>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</si>
  <si>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</si>
  <si>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</si>
  <si>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</si>
  <si>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</si>
  <si>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</si>
  <si>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</si>
  <si>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</si>
  <si>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</si>
  <si>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</si>
  <si>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</si>
  <si>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</si>
  <si>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</si>
  <si>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</si>
  <si>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</si>
  <si>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</si>
  <si>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</si>
  <si>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</si>
  <si>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</si>
  <si>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</si>
  <si>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</si>
  <si>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</si>
  <si>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</si>
  <si>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</si>
  <si>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</si>
  <si>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</si>
  <si>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</si>
  <si>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</si>
  <si>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</si>
  <si>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</si>
  <si>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</si>
  <si>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</si>
  <si>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</si>
  <si>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</si>
  <si>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</si>
  <si>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</si>
  <si>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</si>
  <si>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</si>
  <si>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</si>
  <si>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</si>
  <si>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</si>
  <si>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</si>
  <si>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</si>
  <si>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</si>
  <si>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</si>
  <si>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</si>
  <si>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</si>
  <si>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</si>
  <si>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</si>
  <si>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</si>
  <si>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</si>
  <si>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</si>
  <si>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</si>
  <si>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</si>
  <si>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</si>
  <si>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</si>
  <si>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</si>
  <si>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</si>
  <si>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</si>
  <si>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</si>
  <si>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</si>
  <si>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</si>
  <si>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</si>
  <si>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</si>
  <si>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</si>
  <si>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</si>
  <si>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</si>
  <si>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</si>
  <si>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</si>
  <si>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</si>
  <si>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</si>
  <si>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</si>
  <si>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</si>
  <si>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</si>
  <si>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</si>
  <si>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</si>
  <si>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</si>
  <si>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</si>
  <si>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</si>
  <si>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</si>
  <si>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</si>
  <si>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</si>
  <si>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</si>
  <si>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</si>
  <si>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</si>
  <si>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</si>
  <si>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</si>
  <si>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</si>
  <si>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</si>
  <si>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</si>
  <si>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</si>
  <si>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</si>
  <si>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</si>
  <si>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</si>
  <si>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</si>
  <si>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</si>
  <si>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</si>
  <si>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</si>
  <si>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</si>
  <si>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</si>
  <si>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</si>
  <si>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</si>
  <si>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</si>
  <si>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</si>
  <si>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</si>
  <si>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</si>
  <si>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</si>
  <si>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</si>
  <si>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</si>
  <si>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</si>
  <si>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</si>
  <si>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</si>
  <si>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</si>
  <si>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</si>
  <si>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</si>
  <si>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</si>
  <si>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</si>
  <si>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</si>
  <si>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</si>
  <si>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</si>
  <si>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</si>
  <si>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</si>
  <si>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</si>
  <si>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</si>
  <si>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</si>
  <si>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</si>
  <si>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</si>
  <si>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</si>
  <si>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</si>
  <si>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</si>
  <si>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</si>
  <si>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</si>
  <si>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</si>
  <si>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</si>
  <si>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</si>
  <si>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</si>
  <si>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</si>
  <si>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</si>
  <si>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</si>
  <si>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</si>
  <si>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</si>
  <si>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</si>
  <si>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</si>
  <si>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</si>
  <si>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</si>
  <si>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</si>
  <si>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</si>
  <si>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</si>
  <si>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</si>
  <si>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</si>
  <si>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</si>
  <si>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</si>
  <si>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</si>
  <si>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</si>
  <si>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</si>
  <si>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</si>
  <si>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</si>
  <si>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</si>
  <si>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</si>
  <si>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</si>
  <si>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</si>
  <si>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</si>
  <si>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</si>
  <si>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</si>
  <si>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</si>
  <si>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</si>
  <si>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</si>
  <si>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</si>
  <si>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</si>
  <si>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</si>
  <si>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</si>
  <si>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</si>
  <si>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</si>
  <si>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</si>
  <si>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</si>
  <si>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</si>
  <si>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</si>
  <si>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</si>
  <si>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</si>
  <si>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</si>
  <si>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</si>
  <si>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</si>
  <si>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</si>
  <si>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</si>
  <si>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</si>
  <si>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</si>
  <si>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</si>
  <si>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</si>
  <si>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</si>
  <si>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</si>
  <si>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</si>
  <si>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</si>
  <si>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</si>
  <si>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</si>
  <si>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</si>
  <si>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</si>
  <si>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</si>
  <si>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</si>
  <si>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</si>
  <si>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</si>
  <si>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</si>
  <si>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</si>
  <si>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</si>
  <si>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</si>
  <si>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</si>
  <si>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</si>
  <si>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</si>
  <si>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</si>
  <si>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</si>
  <si>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</si>
  <si>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</si>
  <si>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</si>
  <si>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</si>
  <si>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</si>
  <si>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</si>
  <si>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</si>
  <si>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</si>
  <si>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</si>
  <si>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</si>
  <si>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</si>
  <si>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</si>
  <si>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</si>
  <si>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</si>
  <si>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</si>
  <si>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</si>
  <si>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</si>
  <si>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</si>
  <si>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</si>
  <si>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</si>
  <si>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</si>
  <si>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</si>
  <si>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</si>
  <si>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</si>
  <si>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</si>
  <si>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</si>
  <si>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</si>
  <si>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</si>
  <si>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</si>
  <si>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</si>
  <si>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</si>
  <si>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</si>
  <si>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</si>
  <si>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</si>
  <si>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</si>
  <si>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</si>
  <si>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</si>
  <si>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</si>
  <si>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</si>
  <si>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</si>
  <si>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</si>
  <si>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</si>
  <si>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</si>
  <si>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</si>
  <si>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</si>
  <si>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</si>
  <si>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</si>
  <si>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</si>
  <si>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</si>
  <si>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</si>
  <si>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</si>
  <si>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</si>
  <si>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</si>
  <si>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</si>
  <si>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</si>
  <si>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</si>
  <si>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</si>
  <si>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</si>
  <si>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</si>
  <si>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</si>
  <si>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</si>
  <si>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</si>
  <si>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</si>
  <si>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</si>
  <si>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</si>
  <si>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</si>
  <si>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</si>
  <si>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</si>
  <si>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</si>
  <si>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</si>
  <si>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</si>
  <si>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</si>
  <si>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</si>
  <si>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</si>
  <si>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</si>
  <si>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</si>
  <si>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</si>
  <si>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</si>
  <si>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</si>
  <si>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</si>
  <si>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</si>
  <si>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</si>
  <si>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</si>
  <si>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</si>
  <si>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</si>
  <si>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</si>
  <si>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</si>
  <si>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</si>
  <si>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</si>
  <si>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</si>
  <si>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</si>
  <si>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</si>
  <si>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</si>
  <si>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</si>
  <si>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</si>
  <si>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</si>
  <si>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</si>
  <si>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</si>
  <si>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</si>
  <si>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</si>
  <si>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</si>
  <si>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</si>
  <si>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</si>
  <si>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</si>
  <si>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</si>
  <si>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</si>
  <si>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</si>
  <si>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</si>
  <si>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</si>
  <si>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</si>
  <si>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</si>
  <si>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</si>
  <si>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</si>
  <si>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</si>
  <si>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</si>
  <si>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</si>
  <si>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</si>
  <si>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</si>
  <si>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</si>
  <si>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</si>
  <si>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</si>
  <si>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</si>
  <si>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</si>
  <si>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</si>
  <si>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</si>
  <si>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</si>
  <si>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</si>
  <si>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</si>
  <si>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</si>
  <si>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</si>
  <si>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</si>
  <si>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</si>
  <si>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</si>
  <si>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</si>
  <si>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</si>
  <si>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</si>
  <si>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</si>
  <si>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</si>
  <si>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</si>
  <si>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</si>
  <si>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</si>
  <si>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</si>
  <si>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</si>
  <si>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</si>
  <si>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</si>
  <si>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</si>
  <si>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</si>
  <si>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</si>
  <si>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</si>
  <si>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</si>
  <si>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</si>
  <si>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</si>
  <si>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</si>
  <si>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</si>
  <si>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</si>
  <si>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</si>
  <si>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</si>
  <si>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</si>
  <si>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</si>
  <si>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</si>
  <si>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</si>
  <si>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</si>
  <si>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</si>
  <si>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</si>
  <si>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</si>
  <si>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</si>
  <si>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</si>
  <si>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</si>
  <si>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</si>
  <si>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</si>
  <si>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</si>
  <si>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</si>
  <si>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</si>
  <si>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</si>
  <si>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</si>
  <si>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</si>
  <si>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</si>
  <si>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</si>
  <si>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</si>
  <si>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</si>
  <si>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</si>
  <si>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</si>
  <si>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</si>
  <si>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</si>
  <si>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</si>
  <si>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</si>
  <si>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</si>
  <si>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</si>
  <si>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</si>
  <si>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</si>
  <si>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</si>
  <si>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</si>
  <si>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</si>
  <si>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</si>
  <si>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</si>
  <si>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</si>
  <si>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</si>
  <si>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</si>
  <si>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</si>
  <si>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</si>
  <si>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</si>
  <si>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</si>
  <si>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</si>
  <si>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</si>
  <si>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</si>
  <si>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</si>
  <si>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</si>
  <si>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</si>
  <si>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</si>
  <si>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</si>
  <si>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</si>
  <si>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</si>
  <si>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</si>
  <si>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</si>
  <si>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</si>
  <si>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</si>
  <si>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</si>
  <si>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</si>
  <si>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</si>
  <si>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</si>
  <si>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</si>
  <si>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</si>
  <si>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</si>
  <si>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</si>
  <si>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</si>
  <si>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</si>
  <si>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</si>
  <si>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</si>
  <si>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</si>
  <si>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</si>
  <si>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</si>
  <si>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</si>
  <si>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</si>
  <si>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</si>
  <si>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</si>
  <si>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</si>
  <si>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</si>
  <si>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</si>
  <si>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</si>
  <si>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</si>
  <si>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</si>
  <si>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</si>
  <si>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</si>
  <si>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</si>
  <si>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</si>
  <si>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</si>
  <si>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</si>
  <si>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</si>
  <si>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</si>
  <si>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</si>
  <si>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</si>
  <si>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</si>
  <si>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</si>
  <si>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</si>
  <si>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</si>
  <si>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</si>
  <si>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</si>
  <si>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</si>
  <si>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</si>
  <si>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</si>
  <si>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</si>
  <si>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</si>
  <si>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</si>
  <si>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</si>
  <si>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</si>
  <si>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</si>
  <si>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</si>
  <si>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</si>
  <si>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</si>
  <si>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</si>
  <si>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</si>
  <si>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</si>
  <si>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</si>
  <si>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</si>
  <si>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</si>
  <si>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</si>
  <si>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</si>
  <si>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</si>
  <si>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</si>
  <si>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</si>
  <si>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</si>
  <si>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</si>
  <si>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</si>
  <si>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</si>
  <si>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</si>
  <si>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</si>
  <si>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</si>
  <si>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</si>
  <si>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</si>
  <si>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</si>
  <si>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</si>
  <si>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</si>
  <si>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</si>
  <si>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</si>
  <si>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</si>
  <si>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</si>
  <si>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</si>
  <si>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</si>
  <si>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</si>
  <si>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</si>
  <si>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</si>
  <si>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</si>
  <si>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</si>
  <si>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</si>
  <si>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</si>
  <si>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</si>
  <si>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</si>
  <si>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</si>
  <si>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</si>
  <si>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</si>
  <si>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</si>
  <si>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</si>
  <si>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</si>
  <si>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</si>
  <si>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</si>
  <si>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</si>
  <si>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</si>
  <si>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</si>
  <si>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</si>
  <si>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</si>
  <si>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</si>
  <si>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</si>
  <si>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</si>
  <si>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</si>
  <si>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</si>
  <si>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</si>
  <si>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</si>
  <si>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</si>
  <si>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</si>
  <si>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</si>
  <si>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</si>
  <si>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</si>
  <si>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</si>
  <si>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</si>
  <si>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</si>
  <si>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</si>
  <si>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</si>
  <si>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</si>
  <si>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</si>
  <si>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</si>
  <si>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</si>
  <si>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</si>
  <si>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</si>
  <si>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</si>
  <si>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</si>
  <si>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</si>
  <si>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</si>
  <si>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</si>
  <si>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</si>
  <si>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</si>
  <si>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</si>
  <si>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</si>
  <si>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</si>
  <si>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</si>
  <si>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</si>
  <si>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</si>
  <si>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</si>
  <si>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</si>
  <si>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</si>
  <si>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</si>
  <si>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</si>
  <si>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</si>
  <si>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</si>
  <si>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</si>
  <si>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</si>
  <si>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</si>
  <si>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</si>
  <si>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</si>
  <si>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</si>
  <si>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</si>
  <si>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</si>
  <si>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</si>
  <si>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</si>
  <si>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</si>
  <si>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</si>
  <si>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</si>
  <si>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</si>
  <si>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</si>
  <si>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</si>
  <si>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</si>
  <si>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</si>
  <si>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</si>
  <si>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</si>
  <si>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</si>
  <si>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</si>
  <si>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</si>
  <si>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</si>
  <si>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</si>
  <si>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</si>
  <si>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</si>
  <si>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</si>
  <si>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</si>
  <si>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</si>
  <si>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</si>
  <si>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</si>
  <si>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</si>
  <si>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</si>
  <si>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</si>
  <si>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</si>
  <si>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</si>
  <si>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</si>
  <si>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</si>
  <si>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</si>
  <si>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</si>
  <si>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</si>
  <si>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</si>
  <si>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</si>
  <si>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</si>
  <si>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</si>
  <si>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</si>
  <si>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</si>
  <si>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</si>
  <si>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</si>
  <si>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</si>
  <si>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</si>
  <si>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</si>
  <si>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</si>
  <si>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</si>
  <si>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</si>
  <si>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</si>
  <si>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</si>
  <si>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</si>
  <si>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</si>
  <si>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</si>
  <si>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</si>
  <si>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</si>
  <si>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</si>
  <si>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</si>
  <si>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</si>
  <si>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</si>
  <si>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</si>
  <si>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</si>
  <si>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</si>
  <si>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</si>
  <si>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</si>
  <si>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</si>
  <si>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</si>
  <si>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</si>
  <si>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</si>
  <si>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</si>
  <si>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</si>
  <si>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</si>
  <si>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</si>
  <si>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</si>
  <si>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</si>
  <si>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</si>
  <si>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</si>
  <si>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</si>
  <si>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</si>
  <si>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</si>
  <si>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</si>
  <si>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</si>
  <si>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</si>
  <si>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</si>
  <si>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</si>
  <si>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</si>
  <si>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</si>
  <si>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</si>
  <si>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</si>
  <si>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</si>
  <si>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</si>
  <si>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</si>
  <si>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</si>
  <si>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</si>
  <si>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</si>
  <si>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</si>
  <si>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</si>
  <si>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</si>
  <si>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</si>
  <si>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</si>
  <si>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</si>
  <si>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</si>
  <si>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</si>
  <si>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</si>
  <si>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</si>
  <si>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</si>
  <si>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</si>
  <si>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</si>
  <si>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</si>
  <si>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</si>
  <si>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</si>
  <si>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</si>
  <si>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</si>
  <si>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</si>
  <si>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</si>
  <si>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</si>
  <si>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</si>
  <si>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</si>
  <si>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</si>
  <si>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</si>
  <si>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</si>
  <si>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</si>
  <si>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</si>
  <si>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</si>
  <si>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</si>
  <si>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</si>
  <si>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</si>
  <si>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</si>
  <si>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</si>
  <si>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</si>
  <si>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</si>
  <si>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</si>
  <si>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</si>
  <si>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</si>
  <si>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</si>
  <si>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</si>
  <si>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</si>
  <si>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</si>
  <si>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</si>
  <si>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</si>
  <si>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</si>
  <si>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</si>
  <si>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</si>
  <si>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</si>
  <si>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</si>
  <si>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</si>
  <si>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</si>
  <si>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</si>
  <si>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</si>
  <si>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</si>
  <si>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</si>
  <si>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</si>
  <si>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</si>
  <si>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</si>
  <si>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</si>
  <si>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</si>
  <si>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</si>
  <si>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</si>
  <si>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</si>
  <si>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</si>
  <si>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</si>
  <si>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</si>
  <si>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</si>
  <si>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</si>
  <si>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</si>
  <si>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</si>
  <si>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</si>
  <si>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</si>
  <si>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</si>
  <si>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</si>
  <si>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</si>
  <si>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</si>
  <si>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</si>
  <si>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</si>
  <si>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</si>
  <si>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</si>
  <si>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</si>
  <si>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</si>
  <si>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</si>
  <si>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</si>
  <si>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</si>
  <si>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</si>
  <si>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</si>
  <si>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</si>
  <si>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</si>
  <si>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</si>
  <si>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</si>
  <si>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</si>
  <si>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</si>
  <si>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</si>
  <si>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</si>
  <si>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</si>
  <si>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</si>
  <si>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</si>
  <si>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</si>
  <si>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</si>
  <si>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</si>
  <si>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</si>
  <si>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</si>
  <si>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</si>
  <si>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</si>
  <si>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</si>
  <si>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</si>
  <si>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</si>
  <si>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</si>
  <si>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</si>
  <si>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</si>
  <si>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</si>
  <si>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</si>
  <si>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</si>
  <si>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</si>
  <si>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</si>
  <si>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</si>
  <si>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</si>
  <si>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</si>
  <si>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</si>
  <si>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</si>
  <si>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</si>
  <si>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</si>
  <si>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</si>
  <si>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</si>
  <si>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</si>
  <si>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</si>
  <si>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</si>
  <si>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</si>
  <si>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</si>
  <si>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</si>
  <si>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</si>
  <si>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</si>
  <si>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</si>
  <si>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</si>
  <si>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</si>
  <si>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</si>
  <si>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</si>
  <si>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</si>
  <si>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</si>
  <si>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</si>
  <si>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</si>
  <si>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</si>
  <si>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</si>
  <si>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</si>
  <si>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</si>
  <si>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</si>
  <si>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</si>
  <si>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</si>
  <si>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</si>
  <si>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</si>
  <si>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</si>
  <si>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</si>
  <si>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</si>
  <si>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</si>
  <si>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</si>
  <si>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</si>
  <si>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</si>
  <si>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</si>
  <si>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</si>
  <si>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</si>
  <si>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</si>
  <si>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</si>
  <si>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</si>
  <si>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</si>
  <si>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</si>
  <si>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</si>
  <si>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</si>
  <si>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</si>
  <si>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</si>
  <si>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</si>
  <si>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</si>
  <si>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</si>
  <si>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</si>
  <si>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</si>
  <si>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</si>
  <si>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</si>
  <si>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</si>
  <si>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</si>
  <si>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</si>
  <si>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</si>
  <si>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</si>
  <si>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</si>
  <si>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</si>
  <si>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</si>
  <si>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</si>
  <si>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</si>
  <si>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</si>
  <si>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</si>
  <si>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</si>
  <si>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</si>
  <si>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</si>
  <si>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</si>
  <si>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</si>
  <si>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</si>
  <si>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</si>
  <si>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</si>
  <si>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</si>
  <si>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</si>
  <si>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</si>
  <si>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</si>
  <si>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</si>
  <si>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</si>
  <si>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</si>
  <si>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</si>
  <si>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</si>
  <si>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</si>
  <si>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</si>
  <si>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</si>
  <si>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</si>
  <si>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</si>
  <si>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</si>
  <si>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</si>
  <si>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</si>
  <si>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</si>
  <si>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</si>
  <si>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</si>
  <si>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</si>
  <si>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</si>
  <si>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</si>
  <si>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</si>
  <si>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</si>
  <si>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</si>
  <si>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</si>
  <si>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</si>
  <si>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</si>
  <si>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</si>
  <si>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</si>
  <si>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</si>
  <si>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</si>
  <si>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</si>
  <si>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</si>
  <si>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</si>
  <si>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</si>
  <si>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</si>
  <si>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</si>
  <si>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</si>
  <si>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</si>
  <si>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</si>
  <si>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</si>
  <si>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</si>
  <si>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</si>
  <si>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</si>
  <si>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</si>
  <si>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</si>
  <si>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</si>
  <si>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</si>
  <si>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</si>
  <si>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</si>
  <si>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</si>
  <si>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</si>
  <si>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</si>
  <si>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</si>
  <si>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</si>
  <si>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</si>
  <si>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</si>
  <si>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</si>
  <si>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</si>
  <si>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</si>
  <si>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</si>
  <si>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</si>
  <si>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</si>
  <si>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</si>
  <si>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</si>
  <si>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</si>
  <si>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</si>
  <si>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</si>
  <si>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</si>
  <si>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</si>
  <si>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</si>
  <si>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</si>
  <si>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</si>
  <si>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</si>
  <si>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</si>
  <si>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</si>
  <si>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</si>
  <si>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</si>
  <si>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</si>
  <si>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</si>
  <si>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</si>
  <si>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</si>
  <si>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</si>
  <si>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</si>
  <si>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</si>
  <si>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</si>
  <si>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</si>
  <si>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</si>
  <si>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</si>
  <si>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</si>
  <si>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</si>
  <si>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</si>
  <si>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</si>
  <si>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</si>
  <si>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</si>
  <si>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</si>
  <si>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</si>
  <si>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</si>
  <si>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</si>
  <si>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</si>
  <si>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</si>
  <si>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</si>
  <si>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</si>
  <si>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</si>
  <si>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</si>
  <si>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</si>
  <si>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</si>
  <si>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</si>
  <si>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</si>
  <si>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</si>
  <si>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</si>
  <si>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</si>
  <si>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</si>
  <si>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</si>
  <si>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</si>
  <si>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</si>
  <si>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</si>
  <si>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</si>
  <si>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</si>
  <si>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</si>
  <si>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</si>
  <si>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</si>
  <si>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</si>
  <si>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</si>
  <si>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</si>
  <si>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</si>
  <si>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</si>
  <si>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</si>
  <si>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</si>
  <si>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</si>
  <si>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</si>
  <si>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</si>
  <si>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</si>
  <si>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</si>
  <si>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</si>
  <si>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</si>
  <si>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</si>
  <si>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</si>
  <si>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</si>
  <si>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</si>
  <si>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</si>
  <si>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</si>
  <si>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</si>
  <si>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</si>
  <si>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</si>
  <si>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</si>
  <si>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</si>
  <si>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</si>
  <si>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</si>
  <si>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</si>
  <si>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</si>
  <si>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</si>
  <si>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</si>
  <si>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</si>
  <si>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</si>
  <si>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</si>
  <si>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</si>
  <si>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</si>
  <si>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</si>
  <si>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</si>
  <si>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</si>
  <si>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</si>
  <si>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</si>
  <si>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</si>
  <si>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</si>
  <si>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</si>
  <si>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</si>
  <si>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</si>
  <si>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</si>
  <si>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</si>
  <si>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</si>
  <si>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</si>
  <si>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</si>
  <si>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</si>
  <si>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</si>
  <si>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</si>
  <si>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</si>
  <si>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</si>
  <si>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</si>
  <si>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</si>
  <si>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</si>
  <si>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</si>
  <si>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</si>
  <si>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</si>
  <si>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</si>
  <si>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</si>
  <si>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</si>
  <si>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</si>
  <si>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</si>
  <si>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</si>
  <si>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</si>
  <si>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</si>
  <si>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</si>
  <si>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</si>
  <si>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</si>
  <si>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</si>
  <si>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</si>
  <si>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</si>
  <si>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</si>
  <si>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</si>
  <si>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</si>
  <si>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</si>
  <si>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</si>
  <si>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</si>
  <si>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</si>
  <si>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</si>
  <si>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</si>
  <si>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</si>
  <si>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</si>
  <si>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</si>
  <si>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</si>
  <si>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</si>
  <si>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</si>
  <si>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</si>
  <si>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</si>
  <si>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</si>
  <si>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</si>
  <si>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</si>
  <si>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</si>
  <si>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</si>
  <si>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</si>
  <si>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</si>
  <si>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</si>
  <si>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</si>
  <si>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</si>
  <si>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</si>
  <si>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</si>
  <si>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</si>
  <si>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</si>
  <si>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</si>
  <si>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</si>
  <si>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</si>
  <si>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</si>
  <si>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</si>
  <si>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</si>
  <si>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</si>
  <si>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</si>
  <si>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</si>
  <si>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</si>
  <si>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</si>
  <si>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</si>
  <si>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</si>
  <si>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</si>
  <si>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</si>
  <si>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</si>
  <si>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</si>
  <si>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</si>
  <si>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</si>
  <si>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</si>
  <si>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</si>
  <si>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</si>
  <si>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</si>
  <si>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</si>
  <si>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</si>
  <si>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</si>
  <si>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</si>
  <si>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</si>
  <si>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</si>
  <si>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</si>
  <si>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</si>
  <si>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</si>
  <si>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</si>
  <si>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</si>
  <si>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</si>
  <si>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</si>
  <si>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</si>
  <si>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</si>
  <si>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</si>
  <si>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</si>
  <si>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</si>
  <si>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</si>
  <si>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</si>
  <si>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</si>
  <si>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</si>
  <si>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</si>
  <si>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</si>
  <si>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</si>
  <si>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</si>
  <si>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</si>
  <si>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</si>
  <si>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</si>
  <si>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</si>
  <si>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</si>
  <si>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</si>
  <si>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</si>
  <si>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</si>
  <si>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</si>
  <si>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</si>
  <si>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</si>
  <si>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</si>
  <si>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</si>
  <si>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</si>
  <si>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</si>
  <si>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</si>
  <si>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</si>
  <si>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</si>
  <si>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</si>
  <si>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</si>
  <si>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</si>
  <si>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</si>
  <si>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</si>
  <si>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</si>
  <si>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</si>
  <si>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</si>
  <si>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</si>
  <si>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</si>
  <si>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</si>
  <si>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</si>
  <si>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</si>
  <si>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</si>
  <si>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</si>
  <si>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</si>
  <si>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</si>
  <si>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</si>
  <si>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</si>
  <si>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</si>
  <si>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</si>
  <si>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</si>
  <si>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</si>
  <si>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</si>
  <si>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</si>
  <si>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</si>
  <si>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</si>
  <si>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</si>
  <si>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</si>
  <si>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</si>
  <si>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</si>
  <si>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</si>
  <si>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</si>
  <si>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</si>
  <si>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</si>
  <si>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</si>
  <si>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</si>
  <si>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</si>
  <si>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</si>
  <si>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</si>
  <si>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</si>
  <si>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</si>
  <si>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</si>
  <si>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</si>
  <si>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</si>
  <si>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</si>
  <si>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</si>
  <si>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</si>
  <si>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</si>
  <si>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</si>
  <si>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</si>
  <si>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</si>
  <si>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</si>
  <si>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</si>
  <si>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</si>
  <si>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</si>
  <si>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</si>
  <si>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</si>
  <si>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</si>
  <si>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</si>
  <si>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</si>
  <si>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</si>
  <si>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</si>
  <si>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</si>
  <si>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</si>
  <si>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</si>
  <si>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</si>
  <si>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</si>
  <si>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</si>
  <si>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</si>
  <si>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</si>
  <si>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</si>
  <si>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</si>
  <si>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</si>
  <si>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</si>
  <si>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</si>
  <si>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</si>
  <si>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</si>
  <si>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</si>
  <si>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</si>
  <si>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</si>
  <si>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</si>
  <si>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</si>
  <si>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</si>
  <si>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</si>
  <si>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</si>
  <si>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</si>
  <si>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</si>
  <si>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</si>
  <si>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</si>
  <si>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</si>
  <si>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</si>
  <si>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</si>
  <si>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</si>
  <si>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</si>
  <si>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</si>
  <si>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</si>
  <si>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</si>
  <si>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</si>
  <si>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</si>
  <si>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</si>
  <si>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</si>
  <si>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</si>
  <si>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</si>
  <si>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</si>
  <si>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</si>
  <si>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</si>
  <si>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</si>
  <si>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</si>
  <si>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</si>
  <si>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</si>
  <si>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</si>
  <si>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</si>
  <si>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</si>
  <si>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</si>
  <si>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</si>
  <si>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</si>
  <si>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</si>
  <si>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</si>
  <si>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</si>
  <si>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</si>
  <si>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</si>
  <si>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</si>
  <si>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</si>
  <si>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</si>
  <si>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</si>
  <si>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</si>
  <si>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</si>
  <si>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</si>
  <si>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</si>
  <si>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</si>
  <si>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</si>
  <si>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</si>
  <si>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</si>
  <si>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</si>
  <si>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</si>
  <si>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</si>
  <si>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</si>
  <si>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</si>
  <si>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</si>
  <si>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</si>
  <si>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</si>
  <si>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</si>
  <si>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</si>
  <si>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</si>
  <si>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</si>
  <si>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</si>
  <si>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</si>
  <si>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</si>
  <si>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</si>
  <si>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</si>
  <si>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</si>
  <si>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</si>
  <si>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</si>
  <si>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</si>
  <si>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</si>
  <si>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</si>
  <si>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</si>
  <si>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</si>
  <si>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</si>
  <si>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</si>
  <si>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</si>
  <si>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</si>
  <si>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</si>
  <si>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</si>
  <si>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</si>
  <si>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</si>
  <si>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</si>
  <si>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</si>
  <si>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</si>
  <si>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</si>
  <si>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</si>
  <si>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</si>
  <si>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</si>
  <si>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</si>
  <si>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</si>
  <si>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</si>
  <si>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</si>
  <si>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</si>
  <si>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</si>
  <si>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</si>
  <si>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</si>
  <si>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</si>
  <si>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</si>
  <si>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</si>
  <si>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</si>
  <si>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</si>
  <si>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</si>
  <si>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</si>
  <si>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</si>
  <si>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</si>
  <si>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</si>
  <si>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</si>
  <si>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</si>
  <si>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</si>
  <si>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</si>
  <si>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</si>
  <si>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</si>
  <si>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</si>
  <si>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</si>
  <si>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</si>
  <si>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</si>
  <si>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</si>
  <si>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</si>
  <si>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</si>
  <si>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</si>
  <si>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</si>
  <si>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</si>
  <si>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</si>
  <si>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</si>
  <si>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</si>
  <si>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</si>
  <si>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</si>
  <si>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</si>
  <si>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</si>
  <si>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</si>
  <si>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</si>
  <si>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</si>
  <si>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</si>
  <si>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</si>
  <si>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</si>
  <si>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</si>
  <si>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</si>
  <si>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</si>
  <si>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</si>
  <si>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</si>
  <si>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</si>
  <si>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</si>
  <si>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</si>
  <si>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</si>
  <si>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</si>
  <si>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</si>
  <si>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</si>
  <si>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</si>
  <si>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</si>
  <si>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</si>
  <si>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</si>
  <si>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</si>
  <si>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</si>
  <si>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</si>
  <si>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</si>
  <si>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</si>
  <si>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</si>
  <si>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</si>
  <si>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</si>
  <si>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</si>
  <si>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</si>
  <si>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</si>
  <si>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</si>
  <si>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</si>
  <si>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</si>
  <si>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</si>
  <si>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</si>
  <si>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</si>
  <si>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</si>
  <si>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</si>
  <si>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</si>
  <si>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</si>
  <si>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</si>
  <si>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</si>
  <si>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</si>
  <si>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</si>
  <si>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</si>
  <si>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</si>
  <si>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</si>
  <si>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</si>
  <si>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</si>
  <si>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</si>
  <si>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</si>
  <si>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</si>
  <si>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</si>
  <si>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</si>
  <si>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</si>
  <si>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</si>
  <si>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</si>
  <si>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</si>
  <si>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</si>
  <si>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</si>
  <si>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</si>
  <si>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</si>
  <si>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</si>
  <si>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</si>
  <si>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</si>
  <si>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</si>
  <si>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</si>
  <si>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</si>
  <si>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</si>
  <si>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</si>
  <si>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</si>
  <si>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</si>
  <si>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</si>
  <si>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</si>
  <si>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</si>
  <si>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</si>
  <si>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</si>
  <si>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</si>
  <si>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</si>
  <si>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</si>
  <si>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</si>
  <si>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</si>
  <si>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</si>
  <si>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</si>
  <si>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</si>
  <si>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</si>
  <si>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</si>
  <si>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</si>
  <si>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</si>
  <si>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</si>
  <si>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</si>
  <si>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</si>
  <si>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</si>
  <si>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</si>
  <si>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</si>
  <si>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</si>
  <si>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</si>
  <si>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</si>
  <si>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</si>
  <si>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</si>
  <si>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</si>
  <si>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</si>
  <si>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</si>
  <si>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</si>
  <si>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</si>
  <si>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</si>
  <si>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</si>
  <si>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</si>
  <si>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</si>
  <si>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</si>
  <si>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</si>
  <si>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</si>
  <si>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</si>
  <si>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</si>
  <si>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</si>
  <si>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</si>
  <si>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</si>
  <si>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</si>
  <si>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</si>
  <si>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</si>
  <si>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</si>
  <si>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</si>
  <si>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</si>
  <si>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</si>
  <si>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</si>
  <si>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</si>
  <si>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</si>
  <si>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</si>
  <si>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</si>
  <si>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</si>
  <si>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</si>
  <si>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</si>
  <si>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</si>
  <si>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</si>
  <si>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</si>
  <si>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</si>
  <si>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</si>
  <si>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</si>
  <si>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</si>
  <si>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</si>
  <si>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</si>
  <si>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</si>
  <si>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</si>
  <si>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</si>
  <si>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</si>
  <si>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</si>
  <si>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</si>
  <si>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</si>
  <si>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</si>
  <si>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</si>
  <si>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</si>
  <si>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</si>
  <si>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</si>
  <si>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</si>
  <si>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</si>
  <si>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</si>
  <si>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</si>
  <si>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</si>
  <si>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</si>
  <si>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</si>
  <si>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</si>
  <si>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</si>
  <si>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</si>
  <si>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</si>
  <si>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</si>
  <si>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</si>
  <si>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</si>
  <si>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</si>
  <si>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</si>
  <si>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</si>
  <si>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</si>
  <si>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</si>
  <si>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</si>
  <si>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</si>
  <si>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</si>
  <si>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</si>
  <si>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</si>
  <si>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</si>
  <si>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</si>
  <si>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</si>
  <si>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</si>
  <si>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</si>
  <si>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</si>
  <si>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</si>
  <si>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</si>
  <si>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</si>
  <si>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</si>
  <si>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</si>
  <si>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</si>
  <si>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</si>
  <si>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</si>
  <si>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</si>
  <si>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</si>
  <si>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</si>
  <si>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</si>
  <si>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</si>
  <si>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</si>
  <si>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</si>
  <si>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</si>
  <si>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</si>
  <si>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</si>
  <si>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</si>
  <si>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</si>
  <si>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</si>
  <si>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</si>
  <si>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</si>
  <si>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</si>
  <si>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</si>
  <si>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</si>
  <si>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</si>
  <si>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</si>
  <si>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</si>
  <si>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</si>
  <si>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</si>
  <si>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</si>
  <si>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</si>
  <si>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</si>
  <si>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</si>
  <si>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</si>
  <si>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</si>
  <si>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</si>
  <si>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</si>
  <si>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</si>
  <si>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</si>
  <si>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</si>
  <si>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</si>
  <si>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</si>
  <si>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</si>
  <si>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</si>
  <si>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</si>
  <si>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</si>
  <si>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</si>
  <si>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</si>
  <si>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</si>
  <si>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</si>
  <si>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</si>
  <si>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</si>
  <si>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</si>
  <si>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</si>
  <si>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</si>
  <si>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</si>
  <si>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</si>
  <si>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</si>
  <si>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</si>
  <si>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</si>
  <si>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</si>
  <si>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</si>
  <si>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</si>
  <si>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</si>
  <si>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</si>
  <si>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</si>
  <si>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</si>
  <si>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</si>
  <si>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</si>
  <si>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</si>
  <si>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</si>
  <si>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</si>
  <si>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</si>
  <si>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</si>
  <si>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</si>
  <si>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</si>
  <si>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</si>
  <si>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</si>
  <si>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</si>
  <si>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</si>
  <si>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</si>
  <si>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</si>
  <si>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</si>
  <si>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</si>
  <si>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</si>
  <si>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</si>
  <si>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</si>
  <si>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</si>
  <si>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</si>
  <si>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</si>
  <si>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</si>
  <si>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</si>
  <si>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</si>
  <si>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</si>
  <si>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</si>
  <si>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</si>
  <si>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</si>
  <si>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</si>
  <si>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</si>
  <si>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</si>
  <si>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</si>
  <si>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</si>
  <si>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</si>
  <si>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</si>
  <si>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</si>
  <si>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</si>
  <si>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</si>
  <si>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</si>
  <si>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</si>
  <si>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</si>
  <si>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</si>
  <si>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</si>
  <si>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</si>
  <si>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</si>
  <si>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</si>
  <si>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</si>
  <si>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</si>
  <si>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</si>
  <si>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</si>
  <si>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</si>
  <si>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</si>
  <si>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</si>
  <si>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</si>
  <si>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</si>
  <si>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</si>
  <si>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</si>
  <si>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</si>
  <si>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</si>
  <si>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</si>
  <si>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</si>
  <si>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</si>
  <si>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</si>
  <si>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</si>
  <si>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</si>
  <si>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</si>
  <si>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</si>
  <si>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</si>
  <si>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</si>
  <si>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</si>
  <si>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</si>
  <si>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</si>
  <si>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</si>
  <si>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</si>
  <si>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</si>
  <si>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</si>
  <si>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</si>
  <si>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</si>
  <si>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</si>
  <si>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</si>
  <si>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</si>
  <si>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</si>
  <si>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</si>
  <si>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</si>
  <si>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</si>
  <si>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</si>
  <si>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</si>
  <si>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</si>
  <si>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</si>
  <si>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</si>
  <si>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</si>
  <si>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</si>
  <si>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</si>
  <si>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</si>
  <si>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</si>
  <si>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</si>
  <si>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</si>
  <si>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</si>
  <si>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</si>
  <si>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</si>
  <si>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</si>
  <si>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</si>
  <si>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</si>
  <si>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</si>
  <si>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</si>
  <si>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</si>
  <si>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</si>
  <si>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</si>
  <si>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</si>
  <si>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</si>
  <si>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</si>
  <si>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</si>
  <si>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</si>
  <si>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</si>
  <si>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</si>
  <si>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</si>
  <si>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</si>
  <si>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</si>
  <si>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</si>
  <si>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</si>
  <si>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</si>
  <si>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</si>
  <si>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</si>
  <si>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</si>
  <si>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</si>
  <si>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</si>
  <si>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</si>
  <si>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</si>
  <si>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</si>
  <si>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</si>
  <si>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</si>
  <si>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</si>
  <si>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</si>
  <si>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</si>
  <si>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</si>
  <si>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Laz adjustable ring#OC</t>
  </si>
  <si>
    <t>actual</t>
  </si>
  <si>
    <t>capped</t>
  </si>
  <si>
    <t>cardSpend</t>
  </si>
  <si>
    <t>mid 3May</t>
  </si>
  <si>
    <t>EGA&gt;108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</si>
</sst>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color rgb="FF333333"/>
      <name val="Lucida Console"/>
      <family val="3"/>
    </font>
    <font>
      <sz val="9"/>
      <name val="Lucida Console"/>
      <family val="3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39" fontId="88" fillId="0" borderId="0" xfId="0" applyNumberFormat="1" applyFont="1" applyFill="1" applyAlignment="1">
      <alignment horizontal="right"/>
    </xf>
    <xf numFmtId="39" fontId="89" fillId="0" borderId="0" xfId="0" applyNumberFormat="1" applyFont="1" applyAlignment="1">
      <alignment horizontal="right"/>
    </xf>
    <xf numFmtId="39" fontId="89" fillId="0" borderId="0" xfId="0" applyNumberFormat="1" applyFont="1" applyFill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L30" sqref="L30"/>
    </sheetView>
  </sheetViews>
  <sheetFormatPr defaultRowHeight="12.75" x14ac:dyDescent="0.2"/>
  <cols>
    <col min="1" max="1" width="11" bestFit="1" customWidth="1"/>
    <col min="3" max="3" width="12" style="751" bestFit="1" customWidth="1"/>
    <col min="6" max="6" width="9.7109375" bestFit="1" customWidth="1"/>
    <col min="7" max="7" width="12" bestFit="1" customWidth="1"/>
    <col min="8" max="8" width="9.85546875" bestFit="1" customWidth="1"/>
  </cols>
  <sheetData>
    <row r="1" spans="1:9" s="748" customFormat="1" x14ac:dyDescent="0.2">
      <c r="A1" s="207" t="s">
        <v>2827</v>
      </c>
      <c r="C1" s="751" t="s">
        <v>2826</v>
      </c>
    </row>
    <row r="2" spans="1:9" x14ac:dyDescent="0.2">
      <c r="A2">
        <v>100000</v>
      </c>
      <c r="B2" s="108">
        <v>45017</v>
      </c>
      <c r="C2" s="749">
        <v>112230.08</v>
      </c>
      <c r="D2" s="390">
        <v>4.0000000000000001E-3</v>
      </c>
    </row>
    <row r="3" spans="1:9" x14ac:dyDescent="0.2">
      <c r="A3" s="748">
        <v>100000</v>
      </c>
      <c r="B3" s="108">
        <v>45018</v>
      </c>
      <c r="C3" s="749">
        <v>112230.08</v>
      </c>
      <c r="D3" s="390">
        <v>4.0000000000000001E-3</v>
      </c>
    </row>
    <row r="4" spans="1:9" x14ac:dyDescent="0.2">
      <c r="A4" s="748">
        <v>100000</v>
      </c>
      <c r="B4" s="108">
        <v>45019</v>
      </c>
      <c r="C4" s="750">
        <v>110275.28</v>
      </c>
      <c r="D4" s="390">
        <v>4.0000000000000001E-3</v>
      </c>
    </row>
    <row r="5" spans="1:9" x14ac:dyDescent="0.2">
      <c r="A5" s="748">
        <v>100000</v>
      </c>
      <c r="B5" s="108">
        <v>45020</v>
      </c>
      <c r="C5" s="750">
        <v>110275.29</v>
      </c>
      <c r="D5" s="390">
        <v>4.0000000000000001E-3</v>
      </c>
    </row>
    <row r="6" spans="1:9" x14ac:dyDescent="0.2">
      <c r="A6" s="748">
        <v>100000</v>
      </c>
      <c r="B6" s="108">
        <v>45021</v>
      </c>
      <c r="C6" s="750">
        <v>110275.3</v>
      </c>
      <c r="D6" s="390">
        <v>4.0000000000000001E-3</v>
      </c>
    </row>
    <row r="7" spans="1:9" x14ac:dyDescent="0.2">
      <c r="A7" s="748">
        <v>100000</v>
      </c>
      <c r="B7" s="108">
        <v>45022</v>
      </c>
      <c r="C7" s="750">
        <v>110275.31</v>
      </c>
      <c r="D7" s="390">
        <v>4.0000000000000001E-3</v>
      </c>
    </row>
    <row r="8" spans="1:9" x14ac:dyDescent="0.2">
      <c r="A8" s="748">
        <v>100000</v>
      </c>
      <c r="B8" s="108">
        <v>45023</v>
      </c>
      <c r="C8" s="750">
        <v>110275.32</v>
      </c>
      <c r="D8" s="390">
        <v>4.0000000000000001E-3</v>
      </c>
    </row>
    <row r="9" spans="1:9" x14ac:dyDescent="0.2">
      <c r="A9" s="748">
        <v>100000</v>
      </c>
      <c r="B9" s="108">
        <v>45024</v>
      </c>
      <c r="C9" s="750">
        <v>110275.33</v>
      </c>
      <c r="D9" s="390">
        <v>4.0000000000000001E-3</v>
      </c>
      <c r="I9" s="712"/>
    </row>
    <row r="10" spans="1:9" x14ac:dyDescent="0.2">
      <c r="A10" s="748">
        <v>100000</v>
      </c>
      <c r="B10" s="108">
        <v>45025</v>
      </c>
      <c r="C10" s="750">
        <v>110275.34</v>
      </c>
      <c r="D10" s="390">
        <v>4.0000000000000001E-3</v>
      </c>
    </row>
    <row r="11" spans="1:9" x14ac:dyDescent="0.2">
      <c r="A11" s="748">
        <v>100000</v>
      </c>
      <c r="B11" s="108">
        <v>45026</v>
      </c>
      <c r="C11" s="750">
        <v>110000</v>
      </c>
      <c r="D11" s="390">
        <v>4.0000000000000001E-3</v>
      </c>
    </row>
    <row r="12" spans="1:9" x14ac:dyDescent="0.2">
      <c r="A12" s="748">
        <v>100000</v>
      </c>
      <c r="B12" s="108">
        <v>45027</v>
      </c>
      <c r="C12" s="752">
        <v>100000</v>
      </c>
      <c r="D12" s="390">
        <v>4.0000000000000001E-3</v>
      </c>
    </row>
    <row r="13" spans="1:9" x14ac:dyDescent="0.2">
      <c r="A13" s="748">
        <v>100000</v>
      </c>
      <c r="B13" s="108">
        <v>45028</v>
      </c>
      <c r="C13" s="752">
        <v>100000</v>
      </c>
      <c r="D13" s="390">
        <v>4.0000000000000001E-3</v>
      </c>
    </row>
    <row r="14" spans="1:9" x14ac:dyDescent="0.2">
      <c r="A14" s="748">
        <v>100000</v>
      </c>
      <c r="B14" s="108">
        <v>45029</v>
      </c>
      <c r="C14" s="752">
        <v>100000</v>
      </c>
      <c r="D14" s="390">
        <v>4.0000000000000001E-3</v>
      </c>
    </row>
    <row r="15" spans="1:9" x14ac:dyDescent="0.2">
      <c r="A15" s="748">
        <v>100000</v>
      </c>
      <c r="B15" s="108">
        <v>45030</v>
      </c>
      <c r="C15" s="752">
        <v>100000</v>
      </c>
      <c r="D15" s="390">
        <v>4.0000000000000001E-3</v>
      </c>
    </row>
    <row r="16" spans="1:9" x14ac:dyDescent="0.2">
      <c r="A16" s="753">
        <f t="shared" ref="A16:A31" si="0">C16</f>
        <v>99936</v>
      </c>
      <c r="B16" s="108">
        <v>45031</v>
      </c>
      <c r="C16" s="750">
        <v>99936</v>
      </c>
      <c r="D16" s="390">
        <v>3.0000000000000001E-3</v>
      </c>
    </row>
    <row r="17" spans="1:9" x14ac:dyDescent="0.2">
      <c r="A17" s="753">
        <f t="shared" si="0"/>
        <v>99936.01</v>
      </c>
      <c r="B17" s="108">
        <v>45032</v>
      </c>
      <c r="C17" s="750">
        <v>99936.01</v>
      </c>
      <c r="D17" s="390">
        <v>3.0000000000000001E-3</v>
      </c>
    </row>
    <row r="18" spans="1:9" x14ac:dyDescent="0.2">
      <c r="A18" s="753">
        <f t="shared" si="0"/>
        <v>99917.1</v>
      </c>
      <c r="B18" s="108">
        <v>45033</v>
      </c>
      <c r="C18" s="750">
        <v>99917.1</v>
      </c>
      <c r="D18" s="390">
        <v>3.0000000000000001E-3</v>
      </c>
    </row>
    <row r="19" spans="1:9" x14ac:dyDescent="0.2">
      <c r="A19" s="753">
        <f t="shared" si="0"/>
        <v>99913.04</v>
      </c>
      <c r="B19" s="108">
        <v>45034</v>
      </c>
      <c r="C19" s="750">
        <v>99913.04</v>
      </c>
      <c r="D19" s="390">
        <v>3.0000000000000001E-3</v>
      </c>
    </row>
    <row r="20" spans="1:9" x14ac:dyDescent="0.2">
      <c r="A20" s="753">
        <f t="shared" si="0"/>
        <v>99913.05</v>
      </c>
      <c r="B20" s="108">
        <v>45035</v>
      </c>
      <c r="C20" s="750">
        <v>99913.05</v>
      </c>
      <c r="D20" s="390">
        <v>3.0000000000000001E-3</v>
      </c>
    </row>
    <row r="21" spans="1:9" x14ac:dyDescent="0.2">
      <c r="A21" s="753">
        <f t="shared" si="0"/>
        <v>99836.1</v>
      </c>
      <c r="B21" s="108">
        <v>45036</v>
      </c>
      <c r="C21" s="750">
        <v>99836.1</v>
      </c>
      <c r="D21" s="390">
        <v>3.0000000000000001E-3</v>
      </c>
    </row>
    <row r="22" spans="1:9" x14ac:dyDescent="0.2">
      <c r="A22" s="753">
        <f t="shared" si="0"/>
        <v>99833.2</v>
      </c>
      <c r="B22" s="108">
        <v>45037</v>
      </c>
      <c r="C22" s="750">
        <v>99833.2</v>
      </c>
      <c r="D22" s="390">
        <v>3.0000000000000001E-3</v>
      </c>
    </row>
    <row r="23" spans="1:9" x14ac:dyDescent="0.2">
      <c r="A23" s="753">
        <f t="shared" si="0"/>
        <v>99833.21</v>
      </c>
      <c r="B23" s="108">
        <v>45038</v>
      </c>
      <c r="C23" s="750">
        <v>99833.21</v>
      </c>
      <c r="D23" s="390">
        <v>3.0000000000000001E-3</v>
      </c>
    </row>
    <row r="24" spans="1:9" x14ac:dyDescent="0.2">
      <c r="A24" s="753">
        <f t="shared" si="0"/>
        <v>99833.22</v>
      </c>
      <c r="B24" s="108">
        <v>45039</v>
      </c>
      <c r="C24" s="750">
        <v>99833.22</v>
      </c>
      <c r="D24" s="390">
        <v>3.0000000000000001E-3</v>
      </c>
    </row>
    <row r="25" spans="1:9" x14ac:dyDescent="0.2">
      <c r="A25" s="753">
        <f t="shared" si="0"/>
        <v>99833.23</v>
      </c>
      <c r="B25" s="108">
        <v>45040</v>
      </c>
      <c r="C25" s="750">
        <v>99833.23</v>
      </c>
      <c r="D25" s="390">
        <v>3.0000000000000001E-3</v>
      </c>
    </row>
    <row r="26" spans="1:9" x14ac:dyDescent="0.2">
      <c r="A26" s="753">
        <f t="shared" si="0"/>
        <v>99833.24</v>
      </c>
      <c r="B26" s="108">
        <v>45041</v>
      </c>
      <c r="C26" s="750">
        <v>99833.24</v>
      </c>
      <c r="D26" s="390">
        <v>3.0000000000000001E-3</v>
      </c>
      <c r="F26" t="s">
        <v>2699</v>
      </c>
      <c r="G26" t="s">
        <v>2700</v>
      </c>
      <c r="H26" t="s">
        <v>2828</v>
      </c>
      <c r="I26" t="s">
        <v>2701</v>
      </c>
    </row>
    <row r="27" spans="1:9" x14ac:dyDescent="0.2">
      <c r="A27" s="753">
        <f t="shared" si="0"/>
        <v>825.53</v>
      </c>
      <c r="B27" s="108">
        <v>45042</v>
      </c>
      <c r="C27" s="750">
        <v>825.53</v>
      </c>
      <c r="D27" s="390">
        <v>1.5E-3</v>
      </c>
      <c r="F27" s="390">
        <v>2.5000000000000001E-2</v>
      </c>
      <c r="G27" s="390">
        <v>8.9999999999999993E-3</v>
      </c>
      <c r="H27" s="390">
        <v>8.0000000000000002E-3</v>
      </c>
      <c r="I27" s="390"/>
    </row>
    <row r="28" spans="1:9" x14ac:dyDescent="0.2">
      <c r="A28" s="753">
        <f t="shared" si="0"/>
        <v>8096.84</v>
      </c>
      <c r="B28" s="108">
        <v>45043</v>
      </c>
      <c r="C28" s="750">
        <v>8096.84</v>
      </c>
      <c r="D28" s="390">
        <v>2E-3</v>
      </c>
      <c r="F28" s="753">
        <f>$A$32</f>
        <v>84372.148000000016</v>
      </c>
      <c r="G28" s="753">
        <f>$A$32</f>
        <v>84372.148000000016</v>
      </c>
      <c r="H28" s="753">
        <f>$A$32</f>
        <v>84372.148000000016</v>
      </c>
      <c r="I28" s="712"/>
    </row>
    <row r="29" spans="1:9" x14ac:dyDescent="0.2">
      <c r="A29" s="753">
        <f t="shared" si="0"/>
        <v>7868.23</v>
      </c>
      <c r="B29" s="108">
        <v>45044</v>
      </c>
      <c r="C29" s="750">
        <v>7868.23</v>
      </c>
      <c r="D29" s="390">
        <v>2E-3</v>
      </c>
      <c r="F29" t="s">
        <v>2764</v>
      </c>
      <c r="G29" s="712" t="s">
        <v>2764</v>
      </c>
      <c r="H29" s="748" t="s">
        <v>2764</v>
      </c>
      <c r="I29" s="712" t="s">
        <v>2764</v>
      </c>
    </row>
    <row r="30" spans="1:9" x14ac:dyDescent="0.2">
      <c r="A30" s="753">
        <f t="shared" si="0"/>
        <v>7865.66</v>
      </c>
      <c r="B30" s="108">
        <v>45045</v>
      </c>
      <c r="C30" s="750">
        <v>7865.66</v>
      </c>
      <c r="D30" s="390">
        <v>2E-3</v>
      </c>
      <c r="F30">
        <f>F27*F28/365*31</f>
        <v>179.14634164383565</v>
      </c>
      <c r="G30" s="748">
        <f t="shared" ref="G30:H30" si="1">G27*G28/365*31</f>
        <v>64.492682991780825</v>
      </c>
      <c r="H30" s="748">
        <f t="shared" si="1"/>
        <v>57.326829326027415</v>
      </c>
      <c r="I30" s="751">
        <f>SUMPRODUCT(C2:C31,D2:D31)/365</f>
        <v>25.715295438356168</v>
      </c>
    </row>
    <row r="31" spans="1:9" x14ac:dyDescent="0.2">
      <c r="A31" s="753">
        <f t="shared" si="0"/>
        <v>7890.78</v>
      </c>
      <c r="B31" s="108">
        <v>45046</v>
      </c>
      <c r="C31" s="750">
        <v>7890.78</v>
      </c>
      <c r="D31" s="390">
        <v>2E-3</v>
      </c>
    </row>
    <row r="32" spans="1:9" x14ac:dyDescent="0.2">
      <c r="A32" s="753">
        <f>AVERAGE(A2:A31)</f>
        <v>84372.148000000016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2731</v>
      </c>
      <c r="C2" s="683" t="s">
        <v>311</v>
      </c>
      <c r="D2" s="684" t="s">
        <v>2735</v>
      </c>
      <c r="E2" s="685" t="s">
        <v>2732</v>
      </c>
      <c r="F2" s="685" t="s">
        <v>2766</v>
      </c>
      <c r="G2" s="685" t="s">
        <v>2733</v>
      </c>
      <c r="H2" s="683" t="s">
        <v>460</v>
      </c>
      <c r="I2" s="682" t="s">
        <v>2730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4" t="s">
        <v>2765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5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6" t="s">
        <v>2765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5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6" t="s">
        <v>2765</v>
      </c>
      <c r="G7" s="227">
        <f>SUM(B7:E7)</f>
        <v>112225.48</v>
      </c>
      <c r="H7" s="81">
        <v>44195</v>
      </c>
      <c r="I7" s="63" t="s">
        <v>2736</v>
      </c>
    </row>
    <row r="8" spans="2:9" x14ac:dyDescent="0.2">
      <c r="B8" s="227"/>
      <c r="C8" s="227"/>
      <c r="D8" s="227"/>
      <c r="E8" s="227"/>
      <c r="F8" s="715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6" t="s">
        <v>2765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2737</v>
      </c>
      <c r="D10" s="227"/>
      <c r="E10" s="227"/>
      <c r="F10" s="715"/>
      <c r="G10" s="227" t="s">
        <v>2738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5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6" t="s">
        <v>2765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6" t="s">
        <v>2765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6" t="s">
        <v>2765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6" t="s">
        <v>2765</v>
      </c>
      <c r="G15" s="227">
        <f t="shared" si="1"/>
        <v>108175.48</v>
      </c>
      <c r="H15" s="81">
        <v>44701</v>
      </c>
      <c r="I15" s="63" t="s">
        <v>2741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6" t="s">
        <v>2765</v>
      </c>
      <c r="G16" s="227">
        <f t="shared" si="1"/>
        <v>109985.48</v>
      </c>
      <c r="H16" s="81">
        <v>44728</v>
      </c>
      <c r="I16" s="63" t="s">
        <v>2742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6" t="s">
        <v>2765</v>
      </c>
      <c r="G17" s="227">
        <f t="shared" si="1"/>
        <v>105859.48</v>
      </c>
      <c r="H17" s="81">
        <v>44788</v>
      </c>
      <c r="I17" s="63" t="s">
        <v>2734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6" t="s">
        <v>2765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6" t="s">
        <v>2765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6" t="s">
        <v>2765</v>
      </c>
      <c r="G20" s="227">
        <f>SUM(B20:E20)</f>
        <v>98359.48</v>
      </c>
      <c r="H20" s="81">
        <v>44910</v>
      </c>
      <c r="I20" s="63" t="s">
        <v>2734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6" t="s">
        <v>2765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8" t="s">
        <v>1897</v>
      </c>
      <c r="D3" s="838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9" t="s">
        <v>2080</v>
      </c>
      <c r="C2" s="839"/>
      <c r="D2" s="840" t="s">
        <v>1875</v>
      </c>
      <c r="E2" s="840"/>
      <c r="F2" s="471"/>
      <c r="G2" s="471"/>
      <c r="H2" s="378"/>
      <c r="I2" s="843" t="s">
        <v>2257</v>
      </c>
      <c r="J2" s="844"/>
      <c r="K2" s="844"/>
      <c r="L2" s="844"/>
      <c r="M2" s="844"/>
      <c r="N2" s="844"/>
      <c r="O2" s="845"/>
      <c r="P2" s="438"/>
      <c r="Q2" s="846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1" t="s">
        <v>2283</v>
      </c>
      <c r="G3" s="852"/>
      <c r="H3" s="378"/>
      <c r="I3" s="433"/>
      <c r="J3" s="472"/>
      <c r="K3" s="848" t="s">
        <v>2425</v>
      </c>
      <c r="L3" s="849"/>
      <c r="M3" s="850"/>
      <c r="N3" s="476"/>
      <c r="O3" s="430"/>
      <c r="P3" s="470"/>
      <c r="Q3" s="847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2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4" t="s">
        <v>124</v>
      </c>
      <c r="C1" s="764"/>
      <c r="D1" s="767" t="s">
        <v>292</v>
      </c>
      <c r="E1" s="767"/>
      <c r="F1" s="767" t="s">
        <v>341</v>
      </c>
      <c r="G1" s="767"/>
      <c r="H1" s="765" t="s">
        <v>127</v>
      </c>
      <c r="I1" s="765"/>
      <c r="J1" s="761" t="s">
        <v>292</v>
      </c>
      <c r="K1" s="761"/>
      <c r="L1" s="766" t="s">
        <v>520</v>
      </c>
      <c r="M1" s="766"/>
      <c r="N1" s="765" t="s">
        <v>146</v>
      </c>
      <c r="O1" s="765"/>
      <c r="P1" s="761" t="s">
        <v>293</v>
      </c>
      <c r="Q1" s="761"/>
      <c r="R1" s="766" t="s">
        <v>522</v>
      </c>
      <c r="S1" s="766"/>
      <c r="T1" s="755" t="s">
        <v>193</v>
      </c>
      <c r="U1" s="755"/>
      <c r="V1" s="761" t="s">
        <v>292</v>
      </c>
      <c r="W1" s="761"/>
      <c r="X1" s="760" t="s">
        <v>524</v>
      </c>
      <c r="Y1" s="760"/>
      <c r="Z1" s="755" t="s">
        <v>241</v>
      </c>
      <c r="AA1" s="755"/>
      <c r="AB1" s="762" t="s">
        <v>292</v>
      </c>
      <c r="AC1" s="762"/>
      <c r="AD1" s="763" t="s">
        <v>524</v>
      </c>
      <c r="AE1" s="763"/>
      <c r="AF1" s="755" t="s">
        <v>367</v>
      </c>
      <c r="AG1" s="755"/>
      <c r="AH1" s="762" t="s">
        <v>292</v>
      </c>
      <c r="AI1" s="762"/>
      <c r="AJ1" s="760" t="s">
        <v>530</v>
      </c>
      <c r="AK1" s="760"/>
      <c r="AL1" s="755" t="s">
        <v>389</v>
      </c>
      <c r="AM1" s="755"/>
      <c r="AN1" s="772" t="s">
        <v>292</v>
      </c>
      <c r="AO1" s="772"/>
      <c r="AP1" s="770" t="s">
        <v>531</v>
      </c>
      <c r="AQ1" s="770"/>
      <c r="AR1" s="755" t="s">
        <v>416</v>
      </c>
      <c r="AS1" s="755"/>
      <c r="AV1" s="770" t="s">
        <v>285</v>
      </c>
      <c r="AW1" s="770"/>
      <c r="AX1" s="773" t="s">
        <v>998</v>
      </c>
      <c r="AY1" s="773"/>
      <c r="AZ1" s="773"/>
      <c r="BA1" s="208"/>
      <c r="BB1" s="768">
        <v>42942</v>
      </c>
      <c r="BC1" s="769"/>
      <c r="BD1" s="76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4" t="s">
        <v>261</v>
      </c>
      <c r="U4" s="754"/>
      <c r="X4" s="119" t="s">
        <v>233</v>
      </c>
      <c r="Y4" s="123">
        <f>Y3-Y6</f>
        <v>4.9669099999591708</v>
      </c>
      <c r="Z4" s="754" t="s">
        <v>262</v>
      </c>
      <c r="AA4" s="754"/>
      <c r="AD4" s="154" t="s">
        <v>233</v>
      </c>
      <c r="AE4" s="154">
        <f>AE3-AE5</f>
        <v>-52.526899999851594</v>
      </c>
      <c r="AF4" s="754" t="s">
        <v>262</v>
      </c>
      <c r="AG4" s="754"/>
      <c r="AH4" s="143"/>
      <c r="AI4" s="143"/>
      <c r="AJ4" s="154" t="s">
        <v>233</v>
      </c>
      <c r="AK4" s="154">
        <f>AK3-AK5</f>
        <v>94.988909999992757</v>
      </c>
      <c r="AL4" s="754" t="s">
        <v>262</v>
      </c>
      <c r="AM4" s="754"/>
      <c r="AP4" s="170" t="s">
        <v>233</v>
      </c>
      <c r="AQ4" s="174">
        <f>AQ3-AQ5</f>
        <v>33.841989999942598</v>
      </c>
      <c r="AR4" s="754" t="s">
        <v>262</v>
      </c>
      <c r="AS4" s="754"/>
      <c r="AX4" s="754" t="s">
        <v>564</v>
      </c>
      <c r="AY4" s="754"/>
      <c r="BB4" s="754" t="s">
        <v>567</v>
      </c>
      <c r="BC4" s="75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4"/>
      <c r="U5" s="754"/>
      <c r="V5" s="3" t="s">
        <v>258</v>
      </c>
      <c r="W5">
        <v>2050</v>
      </c>
      <c r="X5" s="82"/>
      <c r="Z5" s="754"/>
      <c r="AA5" s="75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4"/>
      <c r="AG5" s="754"/>
      <c r="AH5" s="143"/>
      <c r="AI5" s="143"/>
      <c r="AJ5" s="154" t="s">
        <v>352</v>
      </c>
      <c r="AK5" s="162">
        <f>SUM(AK11:AK59)</f>
        <v>30858.011000000002</v>
      </c>
      <c r="AL5" s="754"/>
      <c r="AM5" s="75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4"/>
      <c r="AS5" s="754"/>
      <c r="AX5" s="754"/>
      <c r="AY5" s="754"/>
      <c r="BB5" s="754"/>
      <c r="BC5" s="754"/>
      <c r="BD5" s="771" t="s">
        <v>999</v>
      </c>
      <c r="BE5" s="771"/>
      <c r="BF5" s="771"/>
      <c r="BG5" s="771"/>
      <c r="BH5" s="771"/>
      <c r="BI5" s="771"/>
      <c r="BJ5" s="771"/>
      <c r="BK5" s="77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6" t="s">
        <v>264</v>
      </c>
      <c r="W23" s="75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8"/>
      <c r="W24" s="75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4" t="s">
        <v>2676</v>
      </c>
      <c r="H3" s="775"/>
      <c r="I3" s="593"/>
      <c r="J3" s="774" t="s">
        <v>2677</v>
      </c>
      <c r="K3" s="775"/>
      <c r="L3" s="299"/>
      <c r="M3" s="774">
        <v>43739</v>
      </c>
      <c r="N3" s="775"/>
      <c r="O3" s="774">
        <v>42401</v>
      </c>
      <c r="P3" s="775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2710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2709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2678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0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1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1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1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1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9">
        <v>5000</v>
      </c>
      <c r="P22" s="63"/>
    </row>
    <row r="23" spans="2:16" x14ac:dyDescent="0.2">
      <c r="B23" s="63" t="s">
        <v>315</v>
      </c>
      <c r="C23" s="781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1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9">
        <v>142000</v>
      </c>
      <c r="P24" s="63"/>
    </row>
    <row r="25" spans="2:16" x14ac:dyDescent="0.2">
      <c r="B25" s="63" t="s">
        <v>322</v>
      </c>
      <c r="C25" s="781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2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9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9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3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9">
        <v>20000</v>
      </c>
      <c r="P33" s="63"/>
    </row>
    <row r="34" spans="2:16" s="632" customFormat="1" x14ac:dyDescent="0.2">
      <c r="B34" s="63"/>
      <c r="C34" s="71"/>
      <c r="D34" s="784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9">
        <f>G40/F42+H40</f>
        <v>1932511.2781954887</v>
      </c>
      <c r="H43" s="779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8">
        <f>H40*F42+G40</f>
        <v>2570240</v>
      </c>
      <c r="H44" s="778"/>
      <c r="I44" s="2"/>
      <c r="J44" s="778">
        <f>K40*1.37+J40</f>
        <v>1877697.6600000001</v>
      </c>
      <c r="K44" s="778"/>
      <c r="L44" s="2"/>
      <c r="M44" s="778">
        <f>N40*1.37+M40</f>
        <v>1789659</v>
      </c>
      <c r="N44" s="778"/>
      <c r="O44" s="778">
        <f>P40*1.36+O40</f>
        <v>1320187.2</v>
      </c>
      <c r="P44" s="778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7" t="s">
        <v>1186</v>
      </c>
      <c r="C47" s="777"/>
      <c r="D47" s="777"/>
      <c r="E47" s="777"/>
      <c r="F47" s="777"/>
      <c r="G47" s="777"/>
      <c r="H47" s="777"/>
      <c r="I47" s="777"/>
      <c r="J47" s="777"/>
      <c r="K47" s="777"/>
      <c r="L47" s="777"/>
      <c r="M47" s="777"/>
      <c r="N47" s="777"/>
    </row>
    <row r="48" spans="2:16" x14ac:dyDescent="0.2">
      <c r="B48" s="777" t="s">
        <v>2566</v>
      </c>
      <c r="C48" s="777"/>
      <c r="D48" s="777"/>
      <c r="E48" s="777"/>
      <c r="F48" s="777"/>
      <c r="G48" s="777"/>
      <c r="H48" s="777"/>
      <c r="I48" s="777"/>
      <c r="J48" s="777"/>
      <c r="K48" s="777"/>
      <c r="L48" s="777"/>
      <c r="M48" s="777"/>
      <c r="N48" s="777"/>
    </row>
    <row r="49" spans="2:14" x14ac:dyDescent="0.2">
      <c r="B49" s="777" t="s">
        <v>2565</v>
      </c>
      <c r="C49" s="777"/>
      <c r="D49" s="777"/>
      <c r="E49" s="777"/>
      <c r="F49" s="777"/>
      <c r="G49" s="777"/>
      <c r="H49" s="777"/>
      <c r="I49" s="777"/>
      <c r="J49" s="777"/>
      <c r="K49" s="777"/>
      <c r="L49" s="777"/>
      <c r="M49" s="777"/>
      <c r="N49" s="777"/>
    </row>
    <row r="50" spans="2:14" x14ac:dyDescent="0.2">
      <c r="B50" s="776" t="s">
        <v>2564</v>
      </c>
      <c r="C50" s="776"/>
      <c r="D50" s="776"/>
      <c r="E50" s="776"/>
      <c r="F50" s="776"/>
      <c r="G50" s="776"/>
      <c r="H50" s="776"/>
      <c r="I50" s="776"/>
      <c r="J50" s="776"/>
      <c r="K50" s="776"/>
      <c r="L50" s="776"/>
      <c r="M50" s="776"/>
      <c r="N50" s="776"/>
    </row>
    <row r="51" spans="2:14" x14ac:dyDescent="0.2">
      <c r="B51" s="776"/>
      <c r="C51" s="776"/>
      <c r="D51" s="776"/>
      <c r="E51" s="776"/>
      <c r="F51" s="776"/>
      <c r="G51" s="776"/>
      <c r="H51" s="776"/>
      <c r="I51" s="776"/>
      <c r="J51" s="776"/>
      <c r="K51" s="776"/>
      <c r="L51" s="776"/>
      <c r="M51" s="776"/>
      <c r="N51" s="776"/>
    </row>
    <row r="52" spans="2:14" x14ac:dyDescent="0.2">
      <c r="B52" s="776"/>
      <c r="C52" s="776"/>
      <c r="D52" s="776"/>
      <c r="E52" s="776"/>
      <c r="F52" s="776"/>
      <c r="G52" s="776"/>
      <c r="H52" s="776"/>
      <c r="I52" s="776"/>
      <c r="J52" s="776"/>
      <c r="K52" s="776"/>
      <c r="L52" s="776"/>
      <c r="M52" s="776"/>
      <c r="N52" s="77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6" t="s">
        <v>2662</v>
      </c>
      <c r="F38" s="787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5" t="s">
        <v>989</v>
      </c>
      <c r="C41" s="785"/>
      <c r="D41" s="785"/>
      <c r="E41" s="785"/>
      <c r="F41" s="785"/>
      <c r="G41" s="785"/>
      <c r="H41" s="78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4" t="s">
        <v>909</v>
      </c>
      <c r="C1" s="764"/>
      <c r="D1" s="763" t="s">
        <v>515</v>
      </c>
      <c r="E1" s="763"/>
      <c r="F1" s="764" t="s">
        <v>513</v>
      </c>
      <c r="G1" s="764"/>
      <c r="H1" s="791" t="s">
        <v>549</v>
      </c>
      <c r="I1" s="791"/>
      <c r="J1" s="763" t="s">
        <v>515</v>
      </c>
      <c r="K1" s="763"/>
      <c r="L1" s="764" t="s">
        <v>908</v>
      </c>
      <c r="M1" s="764"/>
      <c r="N1" s="791" t="s">
        <v>549</v>
      </c>
      <c r="O1" s="791"/>
      <c r="P1" s="763" t="s">
        <v>515</v>
      </c>
      <c r="Q1" s="763"/>
      <c r="R1" s="764" t="s">
        <v>552</v>
      </c>
      <c r="S1" s="764"/>
      <c r="T1" s="791" t="s">
        <v>549</v>
      </c>
      <c r="U1" s="791"/>
      <c r="V1" s="763" t="s">
        <v>515</v>
      </c>
      <c r="W1" s="763"/>
      <c r="X1" s="764" t="s">
        <v>907</v>
      </c>
      <c r="Y1" s="764"/>
      <c r="Z1" s="791" t="s">
        <v>549</v>
      </c>
      <c r="AA1" s="791"/>
      <c r="AB1" s="763" t="s">
        <v>515</v>
      </c>
      <c r="AC1" s="763"/>
      <c r="AD1" s="764" t="s">
        <v>591</v>
      </c>
      <c r="AE1" s="764"/>
      <c r="AF1" s="791" t="s">
        <v>549</v>
      </c>
      <c r="AG1" s="791"/>
      <c r="AH1" s="763" t="s">
        <v>515</v>
      </c>
      <c r="AI1" s="763"/>
      <c r="AJ1" s="764" t="s">
        <v>906</v>
      </c>
      <c r="AK1" s="764"/>
      <c r="AL1" s="791" t="s">
        <v>626</v>
      </c>
      <c r="AM1" s="791"/>
      <c r="AN1" s="763" t="s">
        <v>627</v>
      </c>
      <c r="AO1" s="763"/>
      <c r="AP1" s="764" t="s">
        <v>621</v>
      </c>
      <c r="AQ1" s="764"/>
      <c r="AR1" s="791" t="s">
        <v>549</v>
      </c>
      <c r="AS1" s="791"/>
      <c r="AT1" s="763" t="s">
        <v>515</v>
      </c>
      <c r="AU1" s="763"/>
      <c r="AV1" s="764" t="s">
        <v>905</v>
      </c>
      <c r="AW1" s="764"/>
      <c r="AX1" s="791" t="s">
        <v>549</v>
      </c>
      <c r="AY1" s="791"/>
      <c r="AZ1" s="763" t="s">
        <v>515</v>
      </c>
      <c r="BA1" s="763"/>
      <c r="BB1" s="764" t="s">
        <v>653</v>
      </c>
      <c r="BC1" s="764"/>
      <c r="BD1" s="791" t="s">
        <v>549</v>
      </c>
      <c r="BE1" s="791"/>
      <c r="BF1" s="763" t="s">
        <v>515</v>
      </c>
      <c r="BG1" s="763"/>
      <c r="BH1" s="764" t="s">
        <v>904</v>
      </c>
      <c r="BI1" s="764"/>
      <c r="BJ1" s="791" t="s">
        <v>549</v>
      </c>
      <c r="BK1" s="791"/>
      <c r="BL1" s="763" t="s">
        <v>515</v>
      </c>
      <c r="BM1" s="763"/>
      <c r="BN1" s="764" t="s">
        <v>921</v>
      </c>
      <c r="BO1" s="764"/>
      <c r="BP1" s="791" t="s">
        <v>549</v>
      </c>
      <c r="BQ1" s="791"/>
      <c r="BR1" s="763" t="s">
        <v>515</v>
      </c>
      <c r="BS1" s="763"/>
      <c r="BT1" s="764" t="s">
        <v>903</v>
      </c>
      <c r="BU1" s="764"/>
      <c r="BV1" s="791" t="s">
        <v>704</v>
      </c>
      <c r="BW1" s="791"/>
      <c r="BX1" s="763" t="s">
        <v>705</v>
      </c>
      <c r="BY1" s="763"/>
      <c r="BZ1" s="764" t="s">
        <v>703</v>
      </c>
      <c r="CA1" s="764"/>
      <c r="CB1" s="791" t="s">
        <v>730</v>
      </c>
      <c r="CC1" s="791"/>
      <c r="CD1" s="763" t="s">
        <v>731</v>
      </c>
      <c r="CE1" s="763"/>
      <c r="CF1" s="764" t="s">
        <v>902</v>
      </c>
      <c r="CG1" s="764"/>
      <c r="CH1" s="791" t="s">
        <v>730</v>
      </c>
      <c r="CI1" s="791"/>
      <c r="CJ1" s="763" t="s">
        <v>731</v>
      </c>
      <c r="CK1" s="763"/>
      <c r="CL1" s="764" t="s">
        <v>748</v>
      </c>
      <c r="CM1" s="764"/>
      <c r="CN1" s="791" t="s">
        <v>730</v>
      </c>
      <c r="CO1" s="791"/>
      <c r="CP1" s="763" t="s">
        <v>731</v>
      </c>
      <c r="CQ1" s="763"/>
      <c r="CR1" s="764" t="s">
        <v>901</v>
      </c>
      <c r="CS1" s="764"/>
      <c r="CT1" s="791" t="s">
        <v>730</v>
      </c>
      <c r="CU1" s="791"/>
      <c r="CV1" s="789" t="s">
        <v>731</v>
      </c>
      <c r="CW1" s="789"/>
      <c r="CX1" s="764" t="s">
        <v>769</v>
      </c>
      <c r="CY1" s="764"/>
      <c r="CZ1" s="791" t="s">
        <v>730</v>
      </c>
      <c r="DA1" s="791"/>
      <c r="DB1" s="789" t="s">
        <v>731</v>
      </c>
      <c r="DC1" s="789"/>
      <c r="DD1" s="764" t="s">
        <v>900</v>
      </c>
      <c r="DE1" s="764"/>
      <c r="DF1" s="791" t="s">
        <v>816</v>
      </c>
      <c r="DG1" s="791"/>
      <c r="DH1" s="789" t="s">
        <v>817</v>
      </c>
      <c r="DI1" s="789"/>
      <c r="DJ1" s="764" t="s">
        <v>809</v>
      </c>
      <c r="DK1" s="764"/>
      <c r="DL1" s="791" t="s">
        <v>816</v>
      </c>
      <c r="DM1" s="791"/>
      <c r="DN1" s="789" t="s">
        <v>731</v>
      </c>
      <c r="DO1" s="789"/>
      <c r="DP1" s="764" t="s">
        <v>899</v>
      </c>
      <c r="DQ1" s="764"/>
      <c r="DR1" s="791" t="s">
        <v>816</v>
      </c>
      <c r="DS1" s="791"/>
      <c r="DT1" s="789" t="s">
        <v>731</v>
      </c>
      <c r="DU1" s="789"/>
      <c r="DV1" s="764" t="s">
        <v>898</v>
      </c>
      <c r="DW1" s="764"/>
      <c r="DX1" s="791" t="s">
        <v>816</v>
      </c>
      <c r="DY1" s="791"/>
      <c r="DZ1" s="789" t="s">
        <v>731</v>
      </c>
      <c r="EA1" s="789"/>
      <c r="EB1" s="764" t="s">
        <v>897</v>
      </c>
      <c r="EC1" s="764"/>
      <c r="ED1" s="791" t="s">
        <v>816</v>
      </c>
      <c r="EE1" s="791"/>
      <c r="EF1" s="789" t="s">
        <v>731</v>
      </c>
      <c r="EG1" s="789"/>
      <c r="EH1" s="764" t="s">
        <v>883</v>
      </c>
      <c r="EI1" s="764"/>
      <c r="EJ1" s="791" t="s">
        <v>816</v>
      </c>
      <c r="EK1" s="791"/>
      <c r="EL1" s="789" t="s">
        <v>936</v>
      </c>
      <c r="EM1" s="789"/>
      <c r="EN1" s="764" t="s">
        <v>922</v>
      </c>
      <c r="EO1" s="764"/>
      <c r="EP1" s="791" t="s">
        <v>816</v>
      </c>
      <c r="EQ1" s="791"/>
      <c r="ER1" s="789" t="s">
        <v>950</v>
      </c>
      <c r="ES1" s="789"/>
      <c r="ET1" s="764" t="s">
        <v>937</v>
      </c>
      <c r="EU1" s="764"/>
      <c r="EV1" s="791" t="s">
        <v>816</v>
      </c>
      <c r="EW1" s="791"/>
      <c r="EX1" s="789" t="s">
        <v>530</v>
      </c>
      <c r="EY1" s="789"/>
      <c r="EZ1" s="764" t="s">
        <v>952</v>
      </c>
      <c r="FA1" s="764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0" t="s">
        <v>779</v>
      </c>
      <c r="CU7" s="76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0" t="s">
        <v>778</v>
      </c>
      <c r="DA8" s="76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0" t="s">
        <v>778</v>
      </c>
      <c r="DG8" s="76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0" t="s">
        <v>778</v>
      </c>
      <c r="DM8" s="76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0" t="s">
        <v>778</v>
      </c>
      <c r="DS8" s="764"/>
      <c r="DT8" s="142" t="s">
        <v>783</v>
      </c>
      <c r="DU8" s="142">
        <f>SUM(DU13:DU17)</f>
        <v>32</v>
      </c>
      <c r="DV8" s="63"/>
      <c r="DW8" s="63"/>
      <c r="DX8" s="790" t="s">
        <v>778</v>
      </c>
      <c r="DY8" s="76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0" t="s">
        <v>928</v>
      </c>
      <c r="EK8" s="76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0" t="s">
        <v>928</v>
      </c>
      <c r="EQ9" s="76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0" t="s">
        <v>928</v>
      </c>
      <c r="EW9" s="76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0" t="s">
        <v>928</v>
      </c>
      <c r="EE11" s="76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0" t="s">
        <v>778</v>
      </c>
      <c r="CU12" s="76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5" t="s">
        <v>782</v>
      </c>
      <c r="CU19" s="7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7" t="s">
        <v>858</v>
      </c>
      <c r="FA21" s="777"/>
      <c r="FC21" s="238">
        <f>FC20-FC22</f>
        <v>113457.16899999997</v>
      </c>
      <c r="FD21" s="230"/>
      <c r="FE21" s="788" t="s">
        <v>1546</v>
      </c>
      <c r="FF21" s="788"/>
      <c r="FG21" s="78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7" t="s">
        <v>871</v>
      </c>
      <c r="FA22" s="77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7" t="s">
        <v>1000</v>
      </c>
      <c r="FA23" s="777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7" t="s">
        <v>1076</v>
      </c>
      <c r="FA24" s="777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3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L1" zoomScaleNormal="100" workbookViewId="0">
      <selection activeCell="JP16" sqref="JP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1" customWidth="1"/>
    <col min="273" max="273" width="10.140625" style="721" bestFit="1" customWidth="1"/>
    <col min="274" max="274" width="16.85546875" style="721" customWidth="1"/>
    <col min="275" max="275" width="11.85546875" style="721" bestFit="1" customWidth="1"/>
    <col min="276" max="276" width="17.7109375" style="721" customWidth="1"/>
    <col min="277" max="277" width="8.140625" style="721" bestFit="1" customWidth="1"/>
    <col min="278" max="278" width="7.140625" style="721" customWidth="1"/>
    <col min="279" max="279" width="9.5703125" style="721" bestFit="1" customWidth="1"/>
    <col min="280" max="280" width="21.140625" style="721" bestFit="1" customWidth="1"/>
  </cols>
  <sheetData>
    <row r="1" spans="1:280" s="142" customFormat="1" x14ac:dyDescent="0.2">
      <c r="A1" s="804" t="s">
        <v>1209</v>
      </c>
      <c r="B1" s="804"/>
      <c r="C1" s="772" t="s">
        <v>292</v>
      </c>
      <c r="D1" s="772"/>
      <c r="E1" s="770" t="s">
        <v>1010</v>
      </c>
      <c r="F1" s="770"/>
      <c r="G1" s="804" t="s">
        <v>1210</v>
      </c>
      <c r="H1" s="804"/>
      <c r="I1" s="772" t="s">
        <v>292</v>
      </c>
      <c r="J1" s="772"/>
      <c r="K1" s="770" t="s">
        <v>1011</v>
      </c>
      <c r="L1" s="770"/>
      <c r="M1" s="804" t="s">
        <v>1211</v>
      </c>
      <c r="N1" s="804"/>
      <c r="O1" s="772" t="s">
        <v>292</v>
      </c>
      <c r="P1" s="772"/>
      <c r="Q1" s="770" t="s">
        <v>1057</v>
      </c>
      <c r="R1" s="770"/>
      <c r="S1" s="804" t="s">
        <v>1212</v>
      </c>
      <c r="T1" s="804"/>
      <c r="U1" s="772" t="s">
        <v>292</v>
      </c>
      <c r="V1" s="772"/>
      <c r="W1" s="770" t="s">
        <v>627</v>
      </c>
      <c r="X1" s="770"/>
      <c r="Y1" s="804" t="s">
        <v>1213</v>
      </c>
      <c r="Z1" s="804"/>
      <c r="AA1" s="772" t="s">
        <v>292</v>
      </c>
      <c r="AB1" s="772"/>
      <c r="AC1" s="770" t="s">
        <v>1084</v>
      </c>
      <c r="AD1" s="770"/>
      <c r="AE1" s="804" t="s">
        <v>1214</v>
      </c>
      <c r="AF1" s="804"/>
      <c r="AG1" s="772" t="s">
        <v>292</v>
      </c>
      <c r="AH1" s="772"/>
      <c r="AI1" s="770" t="s">
        <v>1134</v>
      </c>
      <c r="AJ1" s="770"/>
      <c r="AK1" s="804" t="s">
        <v>1217</v>
      </c>
      <c r="AL1" s="804"/>
      <c r="AM1" s="772" t="s">
        <v>1132</v>
      </c>
      <c r="AN1" s="772"/>
      <c r="AO1" s="770" t="s">
        <v>1133</v>
      </c>
      <c r="AP1" s="770"/>
      <c r="AQ1" s="804" t="s">
        <v>1218</v>
      </c>
      <c r="AR1" s="804"/>
      <c r="AS1" s="772" t="s">
        <v>1132</v>
      </c>
      <c r="AT1" s="772"/>
      <c r="AU1" s="770" t="s">
        <v>1178</v>
      </c>
      <c r="AV1" s="770"/>
      <c r="AW1" s="804" t="s">
        <v>1215</v>
      </c>
      <c r="AX1" s="804"/>
      <c r="AY1" s="770" t="s">
        <v>1241</v>
      </c>
      <c r="AZ1" s="770"/>
      <c r="BA1" s="804" t="s">
        <v>1215</v>
      </c>
      <c r="BB1" s="804"/>
      <c r="BC1" s="772" t="s">
        <v>816</v>
      </c>
      <c r="BD1" s="772"/>
      <c r="BE1" s="770" t="s">
        <v>1208</v>
      </c>
      <c r="BF1" s="770"/>
      <c r="BG1" s="804" t="s">
        <v>1216</v>
      </c>
      <c r="BH1" s="804"/>
      <c r="BI1" s="772" t="s">
        <v>816</v>
      </c>
      <c r="BJ1" s="772"/>
      <c r="BK1" s="770" t="s">
        <v>1208</v>
      </c>
      <c r="BL1" s="770"/>
      <c r="BM1" s="804" t="s">
        <v>1226</v>
      </c>
      <c r="BN1" s="804"/>
      <c r="BO1" s="772" t="s">
        <v>816</v>
      </c>
      <c r="BP1" s="772"/>
      <c r="BQ1" s="770" t="s">
        <v>1244</v>
      </c>
      <c r="BR1" s="770"/>
      <c r="BS1" s="804" t="s">
        <v>1243</v>
      </c>
      <c r="BT1" s="804"/>
      <c r="BU1" s="772" t="s">
        <v>816</v>
      </c>
      <c r="BV1" s="772"/>
      <c r="BW1" s="770" t="s">
        <v>1248</v>
      </c>
      <c r="BX1" s="770"/>
      <c r="BY1" s="804" t="s">
        <v>1270</v>
      </c>
      <c r="BZ1" s="804"/>
      <c r="CA1" s="772" t="s">
        <v>816</v>
      </c>
      <c r="CB1" s="772"/>
      <c r="CC1" s="770" t="s">
        <v>1244</v>
      </c>
      <c r="CD1" s="770"/>
      <c r="CE1" s="804" t="s">
        <v>1291</v>
      </c>
      <c r="CF1" s="804"/>
      <c r="CG1" s="772" t="s">
        <v>816</v>
      </c>
      <c r="CH1" s="772"/>
      <c r="CI1" s="770" t="s">
        <v>1248</v>
      </c>
      <c r="CJ1" s="770"/>
      <c r="CK1" s="804" t="s">
        <v>1307</v>
      </c>
      <c r="CL1" s="804"/>
      <c r="CM1" s="772" t="s">
        <v>816</v>
      </c>
      <c r="CN1" s="772"/>
      <c r="CO1" s="770" t="s">
        <v>1244</v>
      </c>
      <c r="CP1" s="770"/>
      <c r="CQ1" s="804" t="s">
        <v>1335</v>
      </c>
      <c r="CR1" s="804"/>
      <c r="CS1" s="795" t="s">
        <v>816</v>
      </c>
      <c r="CT1" s="795"/>
      <c r="CU1" s="770" t="s">
        <v>1391</v>
      </c>
      <c r="CV1" s="770"/>
      <c r="CW1" s="804" t="s">
        <v>1374</v>
      </c>
      <c r="CX1" s="804"/>
      <c r="CY1" s="795" t="s">
        <v>816</v>
      </c>
      <c r="CZ1" s="795"/>
      <c r="DA1" s="770" t="s">
        <v>1597</v>
      </c>
      <c r="DB1" s="770"/>
      <c r="DC1" s="804" t="s">
        <v>1394</v>
      </c>
      <c r="DD1" s="804"/>
      <c r="DE1" s="795" t="s">
        <v>816</v>
      </c>
      <c r="DF1" s="795"/>
      <c r="DG1" s="770" t="s">
        <v>1491</v>
      </c>
      <c r="DH1" s="770"/>
      <c r="DI1" s="804" t="s">
        <v>1594</v>
      </c>
      <c r="DJ1" s="804"/>
      <c r="DK1" s="795" t="s">
        <v>816</v>
      </c>
      <c r="DL1" s="795"/>
      <c r="DM1" s="770" t="s">
        <v>1391</v>
      </c>
      <c r="DN1" s="770"/>
      <c r="DO1" s="804" t="s">
        <v>1595</v>
      </c>
      <c r="DP1" s="804"/>
      <c r="DQ1" s="795" t="s">
        <v>816</v>
      </c>
      <c r="DR1" s="795"/>
      <c r="DS1" s="770" t="s">
        <v>1590</v>
      </c>
      <c r="DT1" s="770"/>
      <c r="DU1" s="804" t="s">
        <v>1596</v>
      </c>
      <c r="DV1" s="804"/>
      <c r="DW1" s="795" t="s">
        <v>816</v>
      </c>
      <c r="DX1" s="795"/>
      <c r="DY1" s="770" t="s">
        <v>1616</v>
      </c>
      <c r="DZ1" s="770"/>
      <c r="EA1" s="794" t="s">
        <v>1611</v>
      </c>
      <c r="EB1" s="794"/>
      <c r="EC1" s="795" t="s">
        <v>816</v>
      </c>
      <c r="ED1" s="795"/>
      <c r="EE1" s="770" t="s">
        <v>1590</v>
      </c>
      <c r="EF1" s="770"/>
      <c r="EG1" s="361"/>
      <c r="EH1" s="794" t="s">
        <v>1641</v>
      </c>
      <c r="EI1" s="794"/>
      <c r="EJ1" s="795" t="s">
        <v>816</v>
      </c>
      <c r="EK1" s="795"/>
      <c r="EL1" s="770" t="s">
        <v>1675</v>
      </c>
      <c r="EM1" s="770"/>
      <c r="EN1" s="794" t="s">
        <v>1666</v>
      </c>
      <c r="EO1" s="794"/>
      <c r="EP1" s="795" t="s">
        <v>816</v>
      </c>
      <c r="EQ1" s="795"/>
      <c r="ER1" s="770" t="s">
        <v>1715</v>
      </c>
      <c r="ES1" s="770"/>
      <c r="ET1" s="794" t="s">
        <v>1708</v>
      </c>
      <c r="EU1" s="794"/>
      <c r="EV1" s="795" t="s">
        <v>816</v>
      </c>
      <c r="EW1" s="795"/>
      <c r="EX1" s="770" t="s">
        <v>1616</v>
      </c>
      <c r="EY1" s="770"/>
      <c r="EZ1" s="794" t="s">
        <v>1743</v>
      </c>
      <c r="FA1" s="794"/>
      <c r="FB1" s="795" t="s">
        <v>816</v>
      </c>
      <c r="FC1" s="795"/>
      <c r="FD1" s="770" t="s">
        <v>1597</v>
      </c>
      <c r="FE1" s="770"/>
      <c r="FF1" s="794" t="s">
        <v>1782</v>
      </c>
      <c r="FG1" s="794"/>
      <c r="FH1" s="795" t="s">
        <v>816</v>
      </c>
      <c r="FI1" s="795"/>
      <c r="FJ1" s="770" t="s">
        <v>1391</v>
      </c>
      <c r="FK1" s="770"/>
      <c r="FL1" s="794" t="s">
        <v>1817</v>
      </c>
      <c r="FM1" s="794"/>
      <c r="FN1" s="795" t="s">
        <v>816</v>
      </c>
      <c r="FO1" s="795"/>
      <c r="FP1" s="770" t="s">
        <v>1864</v>
      </c>
      <c r="FQ1" s="770"/>
      <c r="FR1" s="794" t="s">
        <v>1853</v>
      </c>
      <c r="FS1" s="794"/>
      <c r="FT1" s="795" t="s">
        <v>816</v>
      </c>
      <c r="FU1" s="795"/>
      <c r="FV1" s="770" t="s">
        <v>1864</v>
      </c>
      <c r="FW1" s="770"/>
      <c r="FX1" s="794" t="s">
        <v>1997</v>
      </c>
      <c r="FY1" s="794"/>
      <c r="FZ1" s="795" t="s">
        <v>816</v>
      </c>
      <c r="GA1" s="795"/>
      <c r="GB1" s="770" t="s">
        <v>1616</v>
      </c>
      <c r="GC1" s="770"/>
      <c r="GD1" s="794" t="s">
        <v>1998</v>
      </c>
      <c r="GE1" s="794"/>
      <c r="GF1" s="795" t="s">
        <v>816</v>
      </c>
      <c r="GG1" s="795"/>
      <c r="GH1" s="770" t="s">
        <v>1590</v>
      </c>
      <c r="GI1" s="770"/>
      <c r="GJ1" s="794" t="s">
        <v>2007</v>
      </c>
      <c r="GK1" s="794"/>
      <c r="GL1" s="795" t="s">
        <v>816</v>
      </c>
      <c r="GM1" s="795"/>
      <c r="GN1" s="770" t="s">
        <v>1590</v>
      </c>
      <c r="GO1" s="770"/>
      <c r="GP1" s="794" t="s">
        <v>2049</v>
      </c>
      <c r="GQ1" s="794"/>
      <c r="GR1" s="795" t="s">
        <v>816</v>
      </c>
      <c r="GS1" s="795"/>
      <c r="GT1" s="770" t="s">
        <v>1675</v>
      </c>
      <c r="GU1" s="770"/>
      <c r="GV1" s="794" t="s">
        <v>2083</v>
      </c>
      <c r="GW1" s="794"/>
      <c r="GX1" s="795" t="s">
        <v>816</v>
      </c>
      <c r="GY1" s="795"/>
      <c r="GZ1" s="770" t="s">
        <v>2122</v>
      </c>
      <c r="HA1" s="770"/>
      <c r="HB1" s="794" t="s">
        <v>2142</v>
      </c>
      <c r="HC1" s="794"/>
      <c r="HD1" s="795" t="s">
        <v>816</v>
      </c>
      <c r="HE1" s="795"/>
      <c r="HF1" s="770" t="s">
        <v>1715</v>
      </c>
      <c r="HG1" s="770"/>
      <c r="HH1" s="794" t="s">
        <v>2155</v>
      </c>
      <c r="HI1" s="794"/>
      <c r="HJ1" s="795" t="s">
        <v>816</v>
      </c>
      <c r="HK1" s="795"/>
      <c r="HL1" s="770" t="s">
        <v>1391</v>
      </c>
      <c r="HM1" s="770"/>
      <c r="HN1" s="794" t="s">
        <v>2201</v>
      </c>
      <c r="HO1" s="794"/>
      <c r="HP1" s="795" t="s">
        <v>816</v>
      </c>
      <c r="HQ1" s="795"/>
      <c r="HR1" s="770" t="s">
        <v>1391</v>
      </c>
      <c r="HS1" s="770"/>
      <c r="HT1" s="794" t="s">
        <v>2243</v>
      </c>
      <c r="HU1" s="794"/>
      <c r="HV1" s="795" t="s">
        <v>816</v>
      </c>
      <c r="HW1" s="795"/>
      <c r="HX1" s="770" t="s">
        <v>1616</v>
      </c>
      <c r="HY1" s="770"/>
      <c r="HZ1" s="794" t="s">
        <v>2300</v>
      </c>
      <c r="IA1" s="794"/>
      <c r="IB1" s="795" t="s">
        <v>816</v>
      </c>
      <c r="IC1" s="795"/>
      <c r="ID1" s="770" t="s">
        <v>1715</v>
      </c>
      <c r="IE1" s="770"/>
      <c r="IF1" s="794" t="s">
        <v>2367</v>
      </c>
      <c r="IG1" s="794"/>
      <c r="IH1" s="795" t="s">
        <v>816</v>
      </c>
      <c r="II1" s="795"/>
      <c r="IJ1" s="770" t="s">
        <v>1590</v>
      </c>
      <c r="IK1" s="770"/>
      <c r="IL1" s="794" t="s">
        <v>2443</v>
      </c>
      <c r="IM1" s="794"/>
      <c r="IN1" s="795" t="s">
        <v>816</v>
      </c>
      <c r="IO1" s="795"/>
      <c r="IP1" s="770" t="s">
        <v>1616</v>
      </c>
      <c r="IQ1" s="770"/>
      <c r="IR1" s="794" t="s">
        <v>2665</v>
      </c>
      <c r="IS1" s="794"/>
      <c r="IT1" s="795" t="s">
        <v>816</v>
      </c>
      <c r="IU1" s="795"/>
      <c r="IV1" s="770" t="s">
        <v>1748</v>
      </c>
      <c r="IW1" s="770"/>
      <c r="IX1" s="794" t="s">
        <v>2664</v>
      </c>
      <c r="IY1" s="794"/>
      <c r="IZ1" s="795" t="s">
        <v>816</v>
      </c>
      <c r="JA1" s="795"/>
      <c r="JB1" s="770" t="s">
        <v>1864</v>
      </c>
      <c r="JC1" s="770"/>
      <c r="JD1" s="794" t="s">
        <v>2715</v>
      </c>
      <c r="JE1" s="794"/>
      <c r="JF1" s="795" t="s">
        <v>816</v>
      </c>
      <c r="JG1" s="795"/>
      <c r="JH1" s="770" t="s">
        <v>1748</v>
      </c>
      <c r="JI1" s="770"/>
      <c r="JJ1" s="794" t="s">
        <v>2779</v>
      </c>
      <c r="JK1" s="794"/>
      <c r="JL1" s="723" t="s">
        <v>816</v>
      </c>
      <c r="JM1" s="723"/>
      <c r="JN1" s="720" t="s">
        <v>1748</v>
      </c>
      <c r="JO1" s="720"/>
      <c r="JP1" s="722" t="s">
        <v>2667</v>
      </c>
      <c r="JQ1" s="722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1" t="s">
        <v>295</v>
      </c>
      <c r="JM2" s="492">
        <f>SUM(JM4:JM26)</f>
        <v>16547.670999999998</v>
      </c>
      <c r="JN2" s="334" t="s">
        <v>296</v>
      </c>
      <c r="JO2" s="273">
        <f>JM2+JK2-JQ2</f>
        <v>118727.12100000001</v>
      </c>
      <c r="JP2" s="721" t="s">
        <v>1911</v>
      </c>
      <c r="JQ2" s="363">
        <f>SUM(JQ3:JQ32)</f>
        <v>158704.65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1" t="s">
        <v>2397</v>
      </c>
      <c r="JO3" s="273">
        <f>JO2-JM29-JM28</f>
        <v>2048.4985000000261</v>
      </c>
      <c r="JP3" s="721" t="s">
        <v>2345</v>
      </c>
      <c r="JQ3" s="268">
        <f>$IA$6</f>
        <v>-140000</v>
      </c>
      <c r="JR3" s="610"/>
    </row>
    <row r="4" spans="1:280" ht="12.75" customHeight="1" thickBot="1" x14ac:dyDescent="0.25">
      <c r="A4" s="754" t="s">
        <v>991</v>
      </c>
      <c r="B4" s="754"/>
      <c r="E4" s="170" t="s">
        <v>233</v>
      </c>
      <c r="F4" s="174">
        <f>F3-F5</f>
        <v>17</v>
      </c>
      <c r="G4" s="754" t="s">
        <v>991</v>
      </c>
      <c r="H4" s="75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620" t="s">
        <v>2675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669" t="s">
        <v>2675</v>
      </c>
      <c r="JK4" s="268">
        <v>-71000</v>
      </c>
      <c r="JL4" s="721" t="s">
        <v>633</v>
      </c>
      <c r="JM4" s="541">
        <v>17271.3</v>
      </c>
      <c r="JN4" s="721" t="s">
        <v>1203</v>
      </c>
      <c r="JO4" s="286">
        <f>JO2-JO5</f>
        <v>-0.27899999996589031</v>
      </c>
      <c r="JP4" s="721" t="s">
        <v>2675</v>
      </c>
      <c r="JQ4" s="268">
        <f>-71000-140000</f>
        <v>-211000</v>
      </c>
      <c r="JR4" s="610"/>
    </row>
    <row r="5" spans="1:280" x14ac:dyDescent="0.2">
      <c r="A5" s="754"/>
      <c r="B5" s="754"/>
      <c r="E5" s="170" t="s">
        <v>352</v>
      </c>
      <c r="F5" s="174">
        <f>SUM(F15:F56)</f>
        <v>12750</v>
      </c>
      <c r="G5" s="754"/>
      <c r="H5" s="754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2686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2686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2686</v>
      </c>
      <c r="JK5" s="272">
        <v>-75000</v>
      </c>
      <c r="JL5" s="721" t="s">
        <v>2669</v>
      </c>
      <c r="JM5" s="541"/>
      <c r="JN5" s="721" t="s">
        <v>352</v>
      </c>
      <c r="JO5" s="273">
        <f>SUM(JO6:JO52)</f>
        <v>118727.39999999998</v>
      </c>
      <c r="JP5" s="727" t="s">
        <v>2686</v>
      </c>
      <c r="JQ5" s="442">
        <f>-75000</f>
        <v>-75000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2687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2685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2685</v>
      </c>
      <c r="JE6" s="268">
        <v>-4000</v>
      </c>
      <c r="JF6" s="669" t="s">
        <v>2608</v>
      </c>
      <c r="JG6" s="492">
        <v>-1401</v>
      </c>
      <c r="JH6" s="192" t="s">
        <v>2743</v>
      </c>
      <c r="JI6" s="582">
        <v>2000.06</v>
      </c>
      <c r="JJ6" s="673" t="s">
        <v>2685</v>
      </c>
      <c r="JK6" s="268">
        <v>-4000</v>
      </c>
      <c r="JL6" s="721" t="s">
        <v>2608</v>
      </c>
      <c r="JM6" s="492">
        <v>-1400</v>
      </c>
      <c r="JN6" s="192" t="s">
        <v>2807</v>
      </c>
      <c r="JO6" s="582">
        <v>1000.07</v>
      </c>
      <c r="JP6" s="728" t="s">
        <v>2685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2687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2695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2761</v>
      </c>
      <c r="JI8" s="61">
        <v>327.74</v>
      </c>
      <c r="JJ8" s="669" t="s">
        <v>2424</v>
      </c>
      <c r="JK8" s="268">
        <v>0</v>
      </c>
      <c r="JL8" s="721" t="s">
        <v>2530</v>
      </c>
      <c r="JM8" s="492"/>
      <c r="JN8" s="389" t="s">
        <v>2808</v>
      </c>
      <c r="JO8" s="61">
        <v>48.69</v>
      </c>
      <c r="JP8" s="721" t="s">
        <v>2424</v>
      </c>
      <c r="JQ8" s="268">
        <v>500000</v>
      </c>
      <c r="JR8" s="609" t="s">
        <v>2829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2706</v>
      </c>
      <c r="JA9" s="492">
        <f>544.23-533.02</f>
        <v>11.210000000000036</v>
      </c>
      <c r="JB9" s="389" t="s">
        <v>2720</v>
      </c>
      <c r="JC9" s="61">
        <v>600</v>
      </c>
      <c r="JD9" s="320" t="s">
        <v>2467</v>
      </c>
      <c r="JE9" s="583">
        <v>0</v>
      </c>
      <c r="JF9" s="612" t="s">
        <v>2782</v>
      </c>
      <c r="JH9" s="346" t="s">
        <v>2769</v>
      </c>
      <c r="JI9" s="61">
        <v>1954.8</v>
      </c>
      <c r="JJ9" s="320" t="s">
        <v>2467</v>
      </c>
      <c r="JK9" s="583">
        <v>-54</v>
      </c>
      <c r="JL9" s="612" t="s">
        <v>2788</v>
      </c>
      <c r="JM9" s="721">
        <v>2.5</v>
      </c>
      <c r="JN9" s="389" t="s">
        <v>2792</v>
      </c>
      <c r="JO9" s="61">
        <v>127.14</v>
      </c>
      <c r="JP9" s="320" t="s">
        <v>2467</v>
      </c>
      <c r="JQ9" s="583">
        <v>31</v>
      </c>
      <c r="JR9" s="609">
        <v>45048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2681</v>
      </c>
      <c r="IW10" s="532">
        <v>2000</v>
      </c>
      <c r="IX10" s="576" t="s">
        <v>1630</v>
      </c>
      <c r="IY10" s="582">
        <v>-997</v>
      </c>
      <c r="JA10" s="492"/>
      <c r="JB10" s="389" t="s">
        <v>2721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2780</v>
      </c>
      <c r="JO10" s="61"/>
      <c r="JP10" s="727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2696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2696</v>
      </c>
      <c r="JI11" s="533">
        <f>410.4+259.2</f>
        <v>669.59999999999991</v>
      </c>
      <c r="JJ11" s="670" t="s">
        <v>1838</v>
      </c>
      <c r="JK11" s="268">
        <v>2600</v>
      </c>
      <c r="JL11" s="721" t="s">
        <v>2412</v>
      </c>
      <c r="JM11" s="514"/>
      <c r="JN11" s="346" t="s">
        <v>2780</v>
      </c>
      <c r="JO11" s="61"/>
      <c r="JP11" s="725" t="s">
        <v>1838</v>
      </c>
      <c r="JQ11" s="268">
        <v>2600</v>
      </c>
      <c r="JR11" s="609">
        <v>45048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2762</v>
      </c>
      <c r="JI12" s="730">
        <f>2.88%/365*(20*140000+21*140220)</f>
        <v>453.27412602739724</v>
      </c>
      <c r="JJ12" s="673" t="s">
        <v>1505</v>
      </c>
      <c r="JK12" s="268">
        <v>966</v>
      </c>
      <c r="JL12" s="721" t="s">
        <v>2164</v>
      </c>
      <c r="JM12" s="737"/>
      <c r="JN12" s="245" t="s">
        <v>2785</v>
      </c>
      <c r="JO12" s="649"/>
      <c r="JP12" s="728" t="s">
        <v>1505</v>
      </c>
      <c r="JQ12" s="268">
        <v>1065</v>
      </c>
      <c r="JR12" s="609">
        <v>45048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2705</v>
      </c>
      <c r="JC13" s="533">
        <f>80-40</f>
        <v>40</v>
      </c>
      <c r="JD13" s="624" t="s">
        <v>1506</v>
      </c>
      <c r="JE13" s="268">
        <v>1778</v>
      </c>
      <c r="JF13" s="669" t="s">
        <v>2815</v>
      </c>
      <c r="JG13" s="492">
        <v>22.41</v>
      </c>
      <c r="JH13" s="245" t="s">
        <v>2784</v>
      </c>
      <c r="JI13" s="730"/>
      <c r="JJ13" s="673" t="s">
        <v>1506</v>
      </c>
      <c r="JK13" s="268">
        <v>1556</v>
      </c>
      <c r="JL13" s="9" t="s">
        <v>2691</v>
      </c>
      <c r="JM13" s="738"/>
      <c r="JN13" s="245" t="s">
        <v>2787</v>
      </c>
      <c r="JO13" s="492">
        <v>1396.9</v>
      </c>
      <c r="JP13" s="728" t="s">
        <v>1506</v>
      </c>
      <c r="JQ13" s="268">
        <v>631</v>
      </c>
      <c r="JR13" s="609">
        <v>45048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4" t="s">
        <v>2186</v>
      </c>
      <c r="HK14" s="76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2704</v>
      </c>
      <c r="JC14" s="649">
        <v>26.001000000000001</v>
      </c>
      <c r="JD14" s="624" t="s">
        <v>2702</v>
      </c>
      <c r="JE14" s="268">
        <v>89</v>
      </c>
      <c r="JF14" s="710" t="s">
        <v>2767</v>
      </c>
      <c r="JG14" s="492">
        <v>118.15</v>
      </c>
      <c r="JH14" s="245" t="s">
        <v>2786</v>
      </c>
      <c r="JI14" s="492">
        <v>1422.53</v>
      </c>
      <c r="JJ14" s="673" t="s">
        <v>2702</v>
      </c>
      <c r="JK14" s="268">
        <v>4000</v>
      </c>
      <c r="JL14" s="721" t="s">
        <v>1799</v>
      </c>
      <c r="JM14" s="61"/>
      <c r="JN14" s="245" t="s">
        <v>2763</v>
      </c>
      <c r="JO14" s="649">
        <v>110000</v>
      </c>
      <c r="JP14" s="728" t="s">
        <v>2702</v>
      </c>
      <c r="JQ14" s="268">
        <v>3251</v>
      </c>
      <c r="JR14" s="609">
        <v>45048</v>
      </c>
      <c r="JS14" s="747"/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8" t="s">
        <v>1504</v>
      </c>
      <c r="DP15" s="79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2712</v>
      </c>
      <c r="JG15" s="669">
        <f>6.24+2.24</f>
        <v>8.48</v>
      </c>
      <c r="JH15" s="245" t="s">
        <v>2763</v>
      </c>
      <c r="JI15" s="649">
        <v>155000</v>
      </c>
      <c r="JJ15" s="687" t="s">
        <v>2744</v>
      </c>
      <c r="JK15" s="268">
        <f>25000.29+90000.29+140000.29+10000</f>
        <v>265000.87</v>
      </c>
      <c r="JL15" s="721" t="s">
        <v>2600</v>
      </c>
      <c r="JM15" s="738"/>
      <c r="JN15" s="245" t="s">
        <v>2624</v>
      </c>
      <c r="JO15" s="52">
        <f>JO16*3</f>
        <v>2381.6025</v>
      </c>
      <c r="JP15" s="728" t="s">
        <v>2744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2691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2691</v>
      </c>
      <c r="JA16" s="677" t="s">
        <v>686</v>
      </c>
      <c r="JB16" s="245" t="s">
        <v>2624</v>
      </c>
      <c r="JC16" s="52">
        <f>JC17*2</f>
        <v>2116.98</v>
      </c>
      <c r="JD16" s="624" t="s">
        <v>2703</v>
      </c>
      <c r="JE16" s="608">
        <v>3083</v>
      </c>
      <c r="JF16" s="401" t="s">
        <v>2746</v>
      </c>
      <c r="JG16" s="510">
        <v>379.39</v>
      </c>
      <c r="JH16" s="345" t="s">
        <v>2775</v>
      </c>
      <c r="JI16" s="61" t="s">
        <v>657</v>
      </c>
      <c r="JJ16" s="673" t="s">
        <v>2703</v>
      </c>
      <c r="JK16" s="268">
        <v>99936</v>
      </c>
      <c r="JL16" s="721" t="s">
        <v>2819</v>
      </c>
      <c r="JM16" s="738">
        <v>7.0010000000000003</v>
      </c>
      <c r="JN16" s="345" t="s">
        <v>2775</v>
      </c>
      <c r="JO16" s="52">
        <f>3175.47/4</f>
        <v>793.86749999999995</v>
      </c>
      <c r="JP16" s="728" t="s">
        <v>2703</v>
      </c>
      <c r="JQ16" s="608">
        <v>5738</v>
      </c>
      <c r="JR16" s="609">
        <v>45048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2682</v>
      </c>
      <c r="JE17" s="268">
        <v>0</v>
      </c>
      <c r="JF17" s="401" t="s">
        <v>2747</v>
      </c>
      <c r="JG17" s="669">
        <v>442.61</v>
      </c>
      <c r="JH17" s="345" t="s">
        <v>2698</v>
      </c>
      <c r="JI17" s="61">
        <v>59.36</v>
      </c>
      <c r="JJ17" s="673" t="s">
        <v>2682</v>
      </c>
      <c r="JK17" s="268">
        <v>0</v>
      </c>
      <c r="JL17" s="721" t="s">
        <v>2712</v>
      </c>
      <c r="JM17" s="61">
        <f>25.72+1.96</f>
        <v>27.68</v>
      </c>
      <c r="JN17" s="345" t="s">
        <v>2556</v>
      </c>
      <c r="JO17" s="61">
        <v>53.91</v>
      </c>
      <c r="JP17" s="728" t="s">
        <v>2682</v>
      </c>
      <c r="JQ17" s="268">
        <v>0</v>
      </c>
      <c r="JR17" s="609">
        <v>45049</v>
      </c>
      <c r="JS17" s="747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5" t="s">
        <v>2815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5" t="s">
        <v>2815</v>
      </c>
      <c r="JA18" s="492">
        <v>16.05</v>
      </c>
      <c r="JB18" s="345" t="s">
        <v>2620</v>
      </c>
      <c r="JC18" s="61">
        <v>110.79</v>
      </c>
      <c r="JD18" s="624" t="s">
        <v>2697</v>
      </c>
      <c r="JE18" s="268">
        <v>10</v>
      </c>
      <c r="JF18" s="401"/>
      <c r="JG18" s="510"/>
      <c r="JH18" s="345" t="s">
        <v>2719</v>
      </c>
      <c r="JI18" s="61">
        <v>30</v>
      </c>
      <c r="JJ18" s="728" t="s">
        <v>2783</v>
      </c>
      <c r="JK18" s="583">
        <v>44.23</v>
      </c>
      <c r="JL18" s="401" t="s">
        <v>2821</v>
      </c>
      <c r="JM18" s="510">
        <f>228.82+344.82+65.55</f>
        <v>639.18999999999994</v>
      </c>
      <c r="JN18" s="345" t="s">
        <v>2718</v>
      </c>
      <c r="JO18" s="61"/>
      <c r="JP18" s="728" t="s">
        <v>2697</v>
      </c>
      <c r="JQ18" s="268">
        <v>14</v>
      </c>
      <c r="JR18" s="609" t="s">
        <v>1182</v>
      </c>
      <c r="JS18" s="731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8" t="s">
        <v>1474</v>
      </c>
      <c r="DJ19" s="79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5" t="s">
        <v>2815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2712</v>
      </c>
      <c r="JA19" s="648">
        <f>5.9+2.12</f>
        <v>8.02</v>
      </c>
      <c r="JB19" s="345" t="s">
        <v>2718</v>
      </c>
      <c r="JC19" s="61">
        <v>109.57</v>
      </c>
      <c r="JD19" s="664" t="s">
        <v>2693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2697</v>
      </c>
      <c r="JK19" s="608">
        <v>10</v>
      </c>
      <c r="JL19" s="732"/>
      <c r="JM19" s="732"/>
      <c r="JN19" s="345" t="s">
        <v>2719</v>
      </c>
      <c r="JO19" s="61">
        <v>30</v>
      </c>
      <c r="JP19" s="727" t="s">
        <v>2693</v>
      </c>
      <c r="JQ19" s="721">
        <v>170</v>
      </c>
      <c r="JR19" s="108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8" t="s">
        <v>2771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2722</v>
      </c>
      <c r="JC20" s="61">
        <f>10+30</f>
        <v>40</v>
      </c>
      <c r="JD20" s="623" t="s">
        <v>2692</v>
      </c>
      <c r="JF20" s="401"/>
      <c r="JG20" s="510"/>
      <c r="JH20" s="345" t="s">
        <v>1195</v>
      </c>
      <c r="JI20" s="61">
        <f>6.5+15</f>
        <v>21.5</v>
      </c>
      <c r="JJ20" s="672" t="s">
        <v>2693</v>
      </c>
      <c r="JK20" s="669">
        <v>230</v>
      </c>
      <c r="JL20" s="401"/>
      <c r="JM20" s="510"/>
      <c r="JN20" s="345" t="s">
        <v>2794</v>
      </c>
      <c r="JO20" s="534" t="s">
        <v>2793</v>
      </c>
      <c r="JP20" s="727" t="s">
        <v>2692</v>
      </c>
      <c r="JR20" s="609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7" t="s">
        <v>2770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2753</v>
      </c>
      <c r="JI21" s="61">
        <v>27</v>
      </c>
      <c r="JJ21" s="672" t="s">
        <v>2692</v>
      </c>
      <c r="JL21" s="401"/>
      <c r="JM21" s="510"/>
      <c r="JN21" s="345" t="s">
        <v>1195</v>
      </c>
      <c r="JO21" s="61">
        <f>15+6.5</f>
        <v>21.5</v>
      </c>
      <c r="JP21" s="729" t="s">
        <v>2454</v>
      </c>
      <c r="JQ21" s="721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4" t="s">
        <v>507</v>
      </c>
      <c r="N22" s="814"/>
      <c r="Q22" s="166" t="s">
        <v>365</v>
      </c>
      <c r="S22" s="814" t="s">
        <v>507</v>
      </c>
      <c r="T22" s="81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5" t="s">
        <v>2171</v>
      </c>
      <c r="IU22" s="755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40" t="s">
        <v>2480</v>
      </c>
      <c r="JQ22" s="739"/>
      <c r="JR22" s="739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4" t="s">
        <v>507</v>
      </c>
      <c r="Z23" s="81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5" t="s">
        <v>2171</v>
      </c>
      <c r="HK23" s="75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5" t="s">
        <v>2171</v>
      </c>
      <c r="HW23" s="75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2754</v>
      </c>
      <c r="JI23" s="533">
        <v>4.05</v>
      </c>
      <c r="JJ23" s="671" t="s">
        <v>2472</v>
      </c>
      <c r="JL23" s="401"/>
      <c r="JM23" s="510"/>
      <c r="JN23" s="345" t="s">
        <v>2801</v>
      </c>
      <c r="JO23" s="61" t="s">
        <v>2025</v>
      </c>
      <c r="JP23" s="740" t="s">
        <v>2820</v>
      </c>
      <c r="JQ23" s="739">
        <v>14.8</v>
      </c>
      <c r="JR23" s="739"/>
    </row>
    <row r="24" spans="1:280" x14ac:dyDescent="0.2">
      <c r="A24" s="814" t="s">
        <v>507</v>
      </c>
      <c r="B24" s="814"/>
      <c r="E24" s="164" t="s">
        <v>237</v>
      </c>
      <c r="F24" s="166"/>
      <c r="G24" s="814" t="s">
        <v>507</v>
      </c>
      <c r="H24" s="814"/>
      <c r="K24" s="244" t="s">
        <v>1019</v>
      </c>
      <c r="L24" s="142">
        <v>0</v>
      </c>
      <c r="M24" s="777"/>
      <c r="N24" s="777"/>
      <c r="Q24" s="166" t="s">
        <v>1056</v>
      </c>
      <c r="S24" s="777"/>
      <c r="T24" s="777"/>
      <c r="W24" s="244" t="s">
        <v>1027</v>
      </c>
      <c r="X24" s="205">
        <v>0</v>
      </c>
      <c r="Y24" s="809" t="s">
        <v>990</v>
      </c>
      <c r="Z24" s="809"/>
      <c r="AC24"/>
      <c r="AE24" s="814" t="s">
        <v>507</v>
      </c>
      <c r="AF24" s="814"/>
      <c r="AI24"/>
      <c r="AK24" s="814" t="s">
        <v>507</v>
      </c>
      <c r="AL24" s="81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0" t="s">
        <v>1536</v>
      </c>
      <c r="EF24" s="80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26" t="s">
        <v>2472</v>
      </c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77"/>
      <c r="N25" s="777"/>
      <c r="Q25" s="244" t="s">
        <v>1029</v>
      </c>
      <c r="R25" s="142">
        <v>0</v>
      </c>
      <c r="S25" s="777"/>
      <c r="T25" s="777"/>
      <c r="W25" s="244" t="s">
        <v>1050</v>
      </c>
      <c r="X25" s="142">
        <v>910.17</v>
      </c>
      <c r="Y25" s="777"/>
      <c r="Z25" s="777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77"/>
      <c r="CL25" s="777"/>
      <c r="CO25" s="266" t="s">
        <v>1286</v>
      </c>
      <c r="CP25" s="205">
        <v>153.41</v>
      </c>
      <c r="CQ25" s="777" t="s">
        <v>1327</v>
      </c>
      <c r="CR25" s="77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5" t="s">
        <v>2171</v>
      </c>
      <c r="IC25" s="75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2773</v>
      </c>
      <c r="JI25" s="61">
        <v>20</v>
      </c>
      <c r="JJ25" s="690" t="s">
        <v>2755</v>
      </c>
      <c r="JK25" s="689">
        <v>59.4</v>
      </c>
      <c r="JL25" s="402"/>
      <c r="JN25" s="337" t="s">
        <v>1863</v>
      </c>
      <c r="JO25" s="61"/>
      <c r="JP25" s="726" t="s">
        <v>2423</v>
      </c>
    </row>
    <row r="26" spans="1:280" x14ac:dyDescent="0.2">
      <c r="A26" s="777"/>
      <c r="B26" s="777"/>
      <c r="E26" s="198" t="s">
        <v>362</v>
      </c>
      <c r="F26" s="170"/>
      <c r="G26" s="777"/>
      <c r="H26" s="777"/>
      <c r="K26" s="244" t="s">
        <v>1018</v>
      </c>
      <c r="L26" s="142">
        <f>910+40</f>
        <v>950</v>
      </c>
      <c r="M26" s="777"/>
      <c r="N26" s="777"/>
      <c r="Q26" s="244" t="s">
        <v>1026</v>
      </c>
      <c r="R26" s="142">
        <v>0</v>
      </c>
      <c r="S26" s="777"/>
      <c r="T26" s="777"/>
      <c r="W26" s="143" t="s">
        <v>1085</v>
      </c>
      <c r="X26" s="142">
        <v>110.58</v>
      </c>
      <c r="Y26" s="777"/>
      <c r="Z26" s="777"/>
      <c r="AE26" s="777"/>
      <c r="AF26" s="777"/>
      <c r="AK26" s="777"/>
      <c r="AL26" s="77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7"/>
      <c r="AX26" s="777"/>
      <c r="AY26" s="143"/>
      <c r="AZ26" s="205"/>
      <c r="BA26" s="777"/>
      <c r="BB26" s="777"/>
      <c r="BE26" s="143" t="s">
        <v>1195</v>
      </c>
      <c r="BF26" s="205">
        <f>6.5*2</f>
        <v>13</v>
      </c>
      <c r="BG26" s="777"/>
      <c r="BH26" s="777"/>
      <c r="BK26" s="266" t="s">
        <v>1195</v>
      </c>
      <c r="BL26" s="205">
        <f>6.5*2</f>
        <v>13</v>
      </c>
      <c r="BM26" s="777"/>
      <c r="BN26" s="777"/>
      <c r="BQ26" s="266" t="s">
        <v>1195</v>
      </c>
      <c r="BR26" s="205">
        <v>13</v>
      </c>
      <c r="BS26" s="777"/>
      <c r="BT26" s="777"/>
      <c r="BW26" s="266" t="s">
        <v>1195</v>
      </c>
      <c r="BX26" s="205">
        <v>13</v>
      </c>
      <c r="BY26" s="777"/>
      <c r="BZ26" s="777"/>
      <c r="CC26" s="266" t="s">
        <v>1195</v>
      </c>
      <c r="CD26" s="205">
        <v>13</v>
      </c>
      <c r="CE26" s="777"/>
      <c r="CF26" s="77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5" t="s">
        <v>1536</v>
      </c>
      <c r="DZ26" s="80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0" t="s">
        <v>1536</v>
      </c>
      <c r="ES26" s="800"/>
      <c r="ET26" s="1" t="s">
        <v>1703</v>
      </c>
      <c r="EU26" s="272">
        <v>20000</v>
      </c>
      <c r="EW26" s="80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2708</v>
      </c>
      <c r="JC26" s="61">
        <v>10</v>
      </c>
      <c r="JH26" s="337" t="s">
        <v>2750</v>
      </c>
      <c r="JI26" s="61">
        <v>30</v>
      </c>
      <c r="JJ26" s="708" t="s">
        <v>2756</v>
      </c>
      <c r="JK26" s="669">
        <v>75.599999999999994</v>
      </c>
      <c r="JN26" s="337" t="s">
        <v>2799</v>
      </c>
      <c r="JO26" s="61">
        <v>50.23</v>
      </c>
      <c r="JP26" s="746" t="s">
        <v>2816</v>
      </c>
      <c r="JQ26" s="721">
        <v>30</v>
      </c>
      <c r="JS26" s="2"/>
    </row>
    <row r="27" spans="1:280" x14ac:dyDescent="0.2">
      <c r="A27" s="777"/>
      <c r="B27" s="777"/>
      <c r="F27" s="194"/>
      <c r="G27" s="777"/>
      <c r="H27" s="777"/>
      <c r="K27"/>
      <c r="M27" s="810" t="s">
        <v>506</v>
      </c>
      <c r="N27" s="810"/>
      <c r="Q27" s="244" t="s">
        <v>1019</v>
      </c>
      <c r="R27" s="142">
        <v>0</v>
      </c>
      <c r="S27" s="810" t="s">
        <v>506</v>
      </c>
      <c r="T27" s="810"/>
      <c r="W27" s="143" t="s">
        <v>1051</v>
      </c>
      <c r="X27" s="142">
        <v>60.75</v>
      </c>
      <c r="Y27" s="777"/>
      <c r="Z27" s="777"/>
      <c r="AC27" s="219" t="s">
        <v>1092</v>
      </c>
      <c r="AD27" s="219"/>
      <c r="AE27" s="810" t="s">
        <v>506</v>
      </c>
      <c r="AF27" s="81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0" t="s">
        <v>1536</v>
      </c>
      <c r="EY27" s="80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5" t="s">
        <v>2171</v>
      </c>
      <c r="HQ27" s="75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2714</v>
      </c>
      <c r="JC27" s="61">
        <v>7</v>
      </c>
      <c r="JD27" s="620" t="s">
        <v>506</v>
      </c>
      <c r="JF27" s="679" t="s">
        <v>2724</v>
      </c>
      <c r="JG27" s="679"/>
      <c r="JH27" s="337" t="s">
        <v>2776</v>
      </c>
      <c r="JI27" s="61">
        <f>55.72+65.82</f>
        <v>121.53999999999999</v>
      </c>
      <c r="JJ27" s="688"/>
      <c r="JL27" s="735" t="s">
        <v>2805</v>
      </c>
      <c r="JM27" s="735"/>
      <c r="JN27" s="337" t="s">
        <v>2809</v>
      </c>
      <c r="JO27" s="61">
        <f>9+2</f>
        <v>11</v>
      </c>
      <c r="JP27" s="734" t="s">
        <v>2823</v>
      </c>
      <c r="JQ27" s="721">
        <v>54</v>
      </c>
    </row>
    <row r="28" spans="1:280" x14ac:dyDescent="0.2">
      <c r="A28" s="777"/>
      <c r="B28" s="777"/>
      <c r="E28" s="193" t="s">
        <v>360</v>
      </c>
      <c r="F28" s="194"/>
      <c r="G28" s="777"/>
      <c r="H28" s="777"/>
      <c r="K28" s="143" t="s">
        <v>1017</v>
      </c>
      <c r="L28" s="142">
        <f>60</f>
        <v>60</v>
      </c>
      <c r="M28" s="810" t="s">
        <v>992</v>
      </c>
      <c r="N28" s="810"/>
      <c r="Q28" s="244" t="s">
        <v>1073</v>
      </c>
      <c r="R28" s="205">
        <v>200</v>
      </c>
      <c r="S28" s="810" t="s">
        <v>992</v>
      </c>
      <c r="T28" s="810"/>
      <c r="W28" s="143" t="s">
        <v>1016</v>
      </c>
      <c r="X28" s="142">
        <v>61.35</v>
      </c>
      <c r="Y28" s="810" t="s">
        <v>506</v>
      </c>
      <c r="Z28" s="810"/>
      <c r="AC28" s="219" t="s">
        <v>1088</v>
      </c>
      <c r="AD28" s="219">
        <f>53+207+63</f>
        <v>323</v>
      </c>
      <c r="AE28" s="810" t="s">
        <v>992</v>
      </c>
      <c r="AF28" s="81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0" t="s">
        <v>1747</v>
      </c>
      <c r="FE28" s="80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2777</v>
      </c>
      <c r="JI28" s="61">
        <f>44.8+43.4</f>
        <v>88.199999999999989</v>
      </c>
      <c r="JJ28" s="713"/>
      <c r="JL28" s="192" t="s">
        <v>1959</v>
      </c>
      <c r="JM28" s="286">
        <f>SUM(JO6:JO7)</f>
        <v>2900.12</v>
      </c>
      <c r="JN28" s="337" t="s">
        <v>2818</v>
      </c>
      <c r="JO28" s="61"/>
      <c r="JP28" s="721" t="s">
        <v>2822</v>
      </c>
      <c r="JQ28" s="721">
        <v>162</v>
      </c>
    </row>
    <row r="29" spans="1:280" x14ac:dyDescent="0.2">
      <c r="A29" s="810" t="s">
        <v>506</v>
      </c>
      <c r="B29" s="810"/>
      <c r="E29" s="193" t="s">
        <v>282</v>
      </c>
      <c r="F29" s="194"/>
      <c r="G29" s="810" t="s">
        <v>506</v>
      </c>
      <c r="H29" s="810"/>
      <c r="K29" s="143" t="s">
        <v>1016</v>
      </c>
      <c r="L29" s="142">
        <v>0</v>
      </c>
      <c r="M29" s="812" t="s">
        <v>93</v>
      </c>
      <c r="N29" s="812"/>
      <c r="Q29" s="244" t="s">
        <v>1050</v>
      </c>
      <c r="R29" s="142">
        <v>0</v>
      </c>
      <c r="S29" s="812" t="s">
        <v>93</v>
      </c>
      <c r="T29" s="812"/>
      <c r="W29" s="143" t="s">
        <v>1015</v>
      </c>
      <c r="X29" s="142">
        <v>64</v>
      </c>
      <c r="Y29" s="810" t="s">
        <v>992</v>
      </c>
      <c r="Z29" s="810"/>
      <c r="AC29" s="219" t="s">
        <v>1089</v>
      </c>
      <c r="AD29" s="219">
        <f>63+46</f>
        <v>109</v>
      </c>
      <c r="AE29" s="812" t="s">
        <v>93</v>
      </c>
      <c r="AF29" s="81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0" t="s">
        <v>1536</v>
      </c>
      <c r="EM29" s="80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2772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2745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1" t="s">
        <v>2824</v>
      </c>
      <c r="JQ29" s="721">
        <v>38.85</v>
      </c>
    </row>
    <row r="30" spans="1:280" x14ac:dyDescent="0.2">
      <c r="A30" s="810" t="s">
        <v>992</v>
      </c>
      <c r="B30" s="810"/>
      <c r="E30" s="193" t="s">
        <v>372</v>
      </c>
      <c r="F30" s="194"/>
      <c r="G30" s="810" t="s">
        <v>992</v>
      </c>
      <c r="H30" s="810"/>
      <c r="K30" s="143" t="s">
        <v>1015</v>
      </c>
      <c r="L30" s="142">
        <v>64</v>
      </c>
      <c r="M30" s="777" t="s">
        <v>385</v>
      </c>
      <c r="N30" s="777"/>
      <c r="Q30"/>
      <c r="S30" s="777" t="s">
        <v>385</v>
      </c>
      <c r="T30" s="777"/>
      <c r="W30" s="143" t="s">
        <v>1014</v>
      </c>
      <c r="X30" s="142">
        <v>100.01</v>
      </c>
      <c r="Y30" s="812" t="s">
        <v>93</v>
      </c>
      <c r="Z30" s="812"/>
      <c r="AC30" s="142" t="s">
        <v>1087</v>
      </c>
      <c r="AD30" s="142">
        <v>65</v>
      </c>
      <c r="AE30" s="777" t="s">
        <v>385</v>
      </c>
      <c r="AF30" s="77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0" t="s">
        <v>1747</v>
      </c>
      <c r="FK30" s="80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2772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2772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2689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2749</v>
      </c>
      <c r="JI30" s="533">
        <f>8.65*2</f>
        <v>17.3</v>
      </c>
      <c r="JJ30" s="669" t="s">
        <v>506</v>
      </c>
      <c r="JL30" s="350" t="s">
        <v>1392</v>
      </c>
      <c r="JM30" s="721">
        <f>SUM(JO8:JO9)</f>
        <v>175.82999999999998</v>
      </c>
      <c r="JN30" s="337" t="s">
        <v>1863</v>
      </c>
      <c r="JO30" s="533"/>
      <c r="JP30" s="721" t="s">
        <v>2830</v>
      </c>
      <c r="JQ30" s="721">
        <v>45</v>
      </c>
    </row>
    <row r="31" spans="1:280" ht="12.75" customHeight="1" x14ac:dyDescent="0.2">
      <c r="A31" s="812" t="s">
        <v>93</v>
      </c>
      <c r="B31" s="812"/>
      <c r="E31" s="193" t="s">
        <v>1007</v>
      </c>
      <c r="F31" s="170"/>
      <c r="G31" s="812" t="s">
        <v>93</v>
      </c>
      <c r="H31" s="812"/>
      <c r="K31" s="143" t="s">
        <v>1014</v>
      </c>
      <c r="L31" s="142">
        <v>50.01</v>
      </c>
      <c r="M31" s="813" t="s">
        <v>1001</v>
      </c>
      <c r="N31" s="813"/>
      <c r="Q31" s="143" t="s">
        <v>1052</v>
      </c>
      <c r="R31" s="142">
        <v>26</v>
      </c>
      <c r="S31" s="813" t="s">
        <v>1001</v>
      </c>
      <c r="T31" s="813"/>
      <c r="W31"/>
      <c r="Y31" s="777" t="s">
        <v>385</v>
      </c>
      <c r="Z31" s="777"/>
      <c r="AC31" s="142" t="s">
        <v>1090</v>
      </c>
      <c r="AD31" s="142">
        <v>10</v>
      </c>
      <c r="AE31" s="813" t="s">
        <v>1001</v>
      </c>
      <c r="AF31" s="81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2690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2760</v>
      </c>
      <c r="JI31" s="533">
        <f>6.2+29.5</f>
        <v>35.700000000000003</v>
      </c>
      <c r="JJ31" s="669" t="s">
        <v>93</v>
      </c>
      <c r="JL31" s="346" t="s">
        <v>2166</v>
      </c>
      <c r="JM31" s="721">
        <f>SUM(JO10:JO11)</f>
        <v>0</v>
      </c>
      <c r="JN31" s="337" t="s">
        <v>1863</v>
      </c>
      <c r="JO31" s="533"/>
    </row>
    <row r="32" spans="1:280" x14ac:dyDescent="0.2">
      <c r="A32" s="777" t="s">
        <v>385</v>
      </c>
      <c r="B32" s="777"/>
      <c r="E32" s="170"/>
      <c r="F32" s="170"/>
      <c r="G32" s="777" t="s">
        <v>385</v>
      </c>
      <c r="H32" s="777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3" t="s">
        <v>1001</v>
      </c>
      <c r="Z32" s="813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7" t="s">
        <v>1438</v>
      </c>
      <c r="DP32" s="79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2772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5" t="s">
        <v>2171</v>
      </c>
      <c r="IO32" s="75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2713</v>
      </c>
      <c r="JC32" s="533">
        <v>74.13</v>
      </c>
      <c r="JF32" s="348" t="s">
        <v>2167</v>
      </c>
      <c r="JG32" s="411">
        <f>SUM(JI16:JI24)</f>
        <v>412.16</v>
      </c>
      <c r="JH32" s="669" t="s">
        <v>2725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1" t="s">
        <v>2725</v>
      </c>
      <c r="JO32" s="78">
        <v>20</v>
      </c>
    </row>
    <row r="33" spans="1:278" x14ac:dyDescent="0.2">
      <c r="A33" s="813" t="s">
        <v>1001</v>
      </c>
      <c r="B33" s="813"/>
      <c r="C33" s="3"/>
      <c r="D33" s="3"/>
      <c r="E33" s="246"/>
      <c r="F33" s="246"/>
      <c r="G33" s="813" t="s">
        <v>1001</v>
      </c>
      <c r="H33" s="813"/>
      <c r="K33" s="243" t="s">
        <v>1021</v>
      </c>
      <c r="L33" s="243"/>
      <c r="M33" s="811" t="s">
        <v>1034</v>
      </c>
      <c r="N33" s="811"/>
      <c r="Q33" s="143" t="s">
        <v>1016</v>
      </c>
      <c r="R33" s="142">
        <v>77.239999999999995</v>
      </c>
      <c r="S33" s="811" t="s">
        <v>1034</v>
      </c>
      <c r="T33" s="811"/>
      <c r="Y33" s="809" t="s">
        <v>243</v>
      </c>
      <c r="Z33" s="809"/>
      <c r="AC33" s="197" t="s">
        <v>1012</v>
      </c>
      <c r="AD33" s="142">
        <v>350</v>
      </c>
      <c r="AE33" s="811" t="s">
        <v>1034</v>
      </c>
      <c r="AF33" s="81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7" t="s">
        <v>1411</v>
      </c>
      <c r="DB33" s="80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2716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1">
        <f>SUM(JO25:JO31)</f>
        <v>61.23</v>
      </c>
      <c r="JN33" s="9" t="s">
        <v>2197</v>
      </c>
      <c r="JO33" s="534">
        <f>250</f>
        <v>250</v>
      </c>
      <c r="JP33" s="721" t="s">
        <v>506</v>
      </c>
    </row>
    <row r="34" spans="1:278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1" t="s">
        <v>1034</v>
      </c>
      <c r="Z34" s="81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5" t="s">
        <v>2171</v>
      </c>
      <c r="JA34" s="755"/>
      <c r="JB34" s="337" t="s">
        <v>2711</v>
      </c>
      <c r="JC34" s="61">
        <v>55</v>
      </c>
      <c r="JF34" s="337" t="s">
        <v>2772</v>
      </c>
      <c r="JG34" s="669">
        <f>SUM(JI27:JI31)</f>
        <v>303.64</v>
      </c>
      <c r="JH34" s="412">
        <v>23.04</v>
      </c>
      <c r="JI34" s="534"/>
      <c r="JL34" s="337" t="s">
        <v>2772</v>
      </c>
      <c r="JM34" s="721">
        <f>SUM(JO27:JO31)</f>
        <v>11</v>
      </c>
      <c r="JN34" s="412">
        <v>23.04</v>
      </c>
      <c r="JO34" s="534"/>
      <c r="JP34" s="721" t="s">
        <v>93</v>
      </c>
    </row>
    <row r="35" spans="1:278" ht="14.25" customHeight="1" x14ac:dyDescent="0.25">
      <c r="A35" s="815" t="s">
        <v>342</v>
      </c>
      <c r="B35" s="815"/>
      <c r="E35" s="187" t="s">
        <v>368</v>
      </c>
      <c r="F35" s="170"/>
      <c r="G35" s="815" t="s">
        <v>342</v>
      </c>
      <c r="H35" s="81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2772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2726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JK20+JM36-JQ19</f>
        <v>510</v>
      </c>
      <c r="JP35" s="721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2723</v>
      </c>
      <c r="JL36" s="724" t="s">
        <v>2806</v>
      </c>
      <c r="JM36" s="353">
        <f>50+400</f>
        <v>450</v>
      </c>
      <c r="JN36" s="409">
        <v>20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2" t="s">
        <v>1536</v>
      </c>
      <c r="DT37" s="80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2751</v>
      </c>
      <c r="JG37" s="353">
        <v>200</v>
      </c>
      <c r="JH37" s="409">
        <v>8</v>
      </c>
      <c r="JI37" s="543" t="s">
        <v>2729</v>
      </c>
      <c r="JN37" s="409">
        <v>30</v>
      </c>
      <c r="JO37" s="543" t="s">
        <v>2810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2798</v>
      </c>
      <c r="JP38" s="721" t="s">
        <v>2774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2772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2748</v>
      </c>
      <c r="JN39" s="409">
        <v>9</v>
      </c>
      <c r="JO39" s="543" t="s">
        <v>2797</v>
      </c>
      <c r="JP39" s="736"/>
      <c r="JQ39" s="736"/>
      <c r="JR39" s="736"/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7" t="s">
        <v>1438</v>
      </c>
      <c r="DJ40" s="79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5" t="s">
        <v>2171</v>
      </c>
      <c r="II40" s="75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2752</v>
      </c>
      <c r="JM40" s="494"/>
      <c r="JN40" s="409">
        <v>10</v>
      </c>
      <c r="JO40" s="543" t="s">
        <v>2814</v>
      </c>
      <c r="JP40" s="736"/>
      <c r="JQ40" s="736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2772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2728</v>
      </c>
      <c r="JI41" s="533">
        <v>751</v>
      </c>
      <c r="JM41" s="494"/>
      <c r="JN41" s="409">
        <v>18</v>
      </c>
      <c r="JO41" s="543" t="s">
        <v>2802</v>
      </c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2684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2803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2781</v>
      </c>
      <c r="JI43" s="533">
        <v>65</v>
      </c>
      <c r="JN43" s="409">
        <f>86*3+96</f>
        <v>354</v>
      </c>
      <c r="JO43" s="63" t="s">
        <v>2804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2717</v>
      </c>
      <c r="JI44" s="533">
        <v>13.3</v>
      </c>
      <c r="JN44" s="400" t="s">
        <v>2791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2688</v>
      </c>
      <c r="JC45" s="533">
        <v>36.9</v>
      </c>
      <c r="JH45" s="202" t="s">
        <v>2778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2717</v>
      </c>
      <c r="JC46" s="533">
        <v>13.3</v>
      </c>
      <c r="JH46" s="202"/>
      <c r="JI46" s="202"/>
      <c r="JN46" s="400" t="s">
        <v>2825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6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2772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2790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6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2789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6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2796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6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2800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2817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  <c r="JQ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7" t="s">
        <v>1875</v>
      </c>
      <c r="C2" s="837"/>
      <c r="D2" s="837"/>
      <c r="E2" s="817" t="s">
        <v>2500</v>
      </c>
      <c r="F2" s="817" t="s">
        <v>2524</v>
      </c>
      <c r="G2" s="698"/>
      <c r="H2" s="828"/>
      <c r="I2" s="816" t="s">
        <v>2633</v>
      </c>
      <c r="J2" s="816"/>
      <c r="K2" s="819" t="s">
        <v>2630</v>
      </c>
      <c r="L2" s="819" t="s">
        <v>2549</v>
      </c>
      <c r="M2" s="817" t="s">
        <v>2505</v>
      </c>
      <c r="N2" s="822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8"/>
      <c r="F3" s="818"/>
      <c r="G3" s="702"/>
      <c r="H3" s="829"/>
      <c r="I3" s="703" t="s">
        <v>2592</v>
      </c>
      <c r="J3" s="704" t="s">
        <v>2212</v>
      </c>
      <c r="K3" s="820"/>
      <c r="L3" s="820"/>
      <c r="M3" s="818"/>
      <c r="N3" s="822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2707</v>
      </c>
      <c r="P7" s="656"/>
    </row>
    <row r="8" spans="2:16" s="742" customFormat="1" x14ac:dyDescent="0.2">
      <c r="B8" s="741"/>
      <c r="G8" s="743">
        <v>45013</v>
      </c>
      <c r="H8" s="744"/>
      <c r="I8" s="744"/>
      <c r="J8" s="744"/>
      <c r="K8" s="744"/>
      <c r="L8" s="744"/>
      <c r="M8" s="744"/>
      <c r="O8" s="744" t="s">
        <v>2740</v>
      </c>
      <c r="P8" s="744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2694</v>
      </c>
    </row>
    <row r="10" spans="2:16" x14ac:dyDescent="0.2">
      <c r="B10" s="567"/>
      <c r="C10" s="832" t="s">
        <v>2503</v>
      </c>
      <c r="D10" s="832"/>
      <c r="E10" s="832"/>
      <c r="F10" s="832"/>
      <c r="G10" s="832"/>
      <c r="H10" s="832"/>
      <c r="I10" s="832"/>
      <c r="J10" s="832"/>
      <c r="K10" s="832"/>
      <c r="L10" s="832"/>
      <c r="M10" s="832"/>
      <c r="N10" s="832"/>
      <c r="O10" s="832"/>
      <c r="P10" s="832"/>
    </row>
    <row r="11" spans="2:16" ht="12.75" customHeight="1" x14ac:dyDescent="0.2">
      <c r="B11" s="566"/>
      <c r="C11" s="558" t="s">
        <v>2520</v>
      </c>
      <c r="D11" s="556"/>
      <c r="E11" s="823" t="s">
        <v>2500</v>
      </c>
      <c r="F11" s="823" t="s">
        <v>2524</v>
      </c>
      <c r="G11" s="560"/>
      <c r="H11" s="826" t="s">
        <v>2512</v>
      </c>
      <c r="I11" s="830" t="s">
        <v>2757</v>
      </c>
      <c r="J11" s="833" t="s">
        <v>2631</v>
      </c>
      <c r="K11" s="833"/>
      <c r="L11" s="834"/>
      <c r="M11" s="823" t="s">
        <v>2758</v>
      </c>
      <c r="N11" s="825" t="s">
        <v>2513</v>
      </c>
    </row>
    <row r="12" spans="2:16" x14ac:dyDescent="0.2">
      <c r="B12" s="566"/>
      <c r="C12" s="550" t="s">
        <v>1873</v>
      </c>
      <c r="D12" s="551" t="s">
        <v>2415</v>
      </c>
      <c r="E12" s="824"/>
      <c r="F12" s="824"/>
      <c r="G12" s="562"/>
      <c r="H12" s="827"/>
      <c r="I12" s="831"/>
      <c r="J12" s="706" t="s">
        <v>2522</v>
      </c>
      <c r="K12" s="563" t="s">
        <v>1874</v>
      </c>
      <c r="L12" s="835"/>
      <c r="M12" s="824"/>
      <c r="N12" s="825"/>
    </row>
    <row r="13" spans="2:16" s="626" customFormat="1" x14ac:dyDescent="0.2">
      <c r="B13" s="836">
        <v>8</v>
      </c>
      <c r="C13" s="836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3">
        <f>I9-I14-L14</f>
        <v>110</v>
      </c>
      <c r="K14" s="626">
        <v>75</v>
      </c>
      <c r="M14" s="626">
        <f>M9-B13</f>
        <v>250</v>
      </c>
      <c r="N14" s="656" t="s">
        <v>2694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2768</v>
      </c>
      <c r="N15" s="656"/>
    </row>
    <row r="16" spans="2:16" x14ac:dyDescent="0.2">
      <c r="B16" s="566"/>
      <c r="C16" s="548">
        <v>3</v>
      </c>
      <c r="E16" s="668" t="s">
        <v>2683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2795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2739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2811</v>
      </c>
    </row>
    <row r="21" spans="2:18" x14ac:dyDescent="0.2">
      <c r="B21" s="567"/>
      <c r="C21" s="832" t="s">
        <v>2504</v>
      </c>
      <c r="D21" s="832"/>
      <c r="E21" s="832"/>
      <c r="F21" s="832"/>
      <c r="G21" s="832"/>
      <c r="H21" s="832"/>
      <c r="I21" s="832"/>
      <c r="J21" s="832"/>
      <c r="K21" s="832"/>
      <c r="L21" s="832"/>
      <c r="M21" s="832"/>
      <c r="N21" s="832"/>
      <c r="O21" s="832"/>
      <c r="P21" s="832"/>
    </row>
    <row r="22" spans="2:18" x14ac:dyDescent="0.2">
      <c r="B22" s="566"/>
      <c r="E22" s="557"/>
      <c r="F22" s="617"/>
      <c r="G22" s="561">
        <v>45062</v>
      </c>
      <c r="H22" s="555" t="s">
        <v>2679</v>
      </c>
      <c r="K22" s="555"/>
      <c r="L22" s="555"/>
    </row>
    <row r="23" spans="2:18" x14ac:dyDescent="0.2">
      <c r="B23" s="566"/>
      <c r="E23" s="552"/>
      <c r="F23" s="552"/>
      <c r="G23" s="821">
        <v>45076</v>
      </c>
      <c r="H23" s="555" t="s">
        <v>2680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21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21"/>
      <c r="H25" s="555"/>
      <c r="K25" s="555"/>
      <c r="L25" s="555"/>
      <c r="O25" s="548" t="s">
        <v>2759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2812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2813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2727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2023-05-03T00:13:47Z</dcterms:modified>
</cp:coreProperties>
</file>