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19784B2-DAD4-4A53-A309-9A2DCD08F02F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21" i="32" l="1"/>
  <c r="OK37" i="32"/>
  <c r="OM26" i="32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AN37" i="44"/>
  <c r="AJ37" i="44"/>
  <c r="AF37" i="44"/>
  <c r="P37" i="44"/>
  <c r="L37" i="44"/>
  <c r="H37" i="44"/>
  <c r="D37" i="44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AV4" i="44"/>
  <c r="AN4" i="44"/>
  <c r="AJ4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K39" i="32"/>
  <c r="OI40" i="32"/>
  <c r="NY37" i="32"/>
  <c r="MM37" i="32"/>
  <c r="KY37" i="32"/>
  <c r="KS37" i="32"/>
  <c r="KA37" i="32"/>
  <c r="IK37" i="32"/>
  <c r="DT37" i="32"/>
  <c r="X37" i="32"/>
  <c r="OI39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8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6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5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I34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I21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I20" i="32"/>
  <c r="OE17" i="32"/>
  <c r="OC35" i="32" s="1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M15" i="32"/>
  <c r="OK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I16" i="32"/>
  <c r="DP16" i="32"/>
  <c r="DN16" i="32"/>
  <c r="BB16" i="32"/>
  <c r="OI18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MK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DM19" i="28"/>
  <c r="AI19" i="28"/>
  <c r="AC19" i="28"/>
  <c r="W19" i="28"/>
  <c r="W8" i="28" s="1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U2" i="28" s="1"/>
  <c r="ES12" i="28"/>
  <c r="EQ12" i="28"/>
  <c r="EO12" i="28"/>
  <c r="EO2" i="28" s="1"/>
  <c r="EK12" i="28"/>
  <c r="EK2" i="28" s="1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C2" i="28"/>
  <c r="DW2" i="28"/>
  <c r="DM2" i="28"/>
  <c r="DK2" i="28"/>
  <c r="DG2" i="28"/>
  <c r="DE2" i="28"/>
  <c r="DA2" i="28"/>
  <c r="CY2" i="28"/>
  <c r="CS2" i="28"/>
  <c r="CM2" i="28"/>
  <c r="CI2" i="28"/>
  <c r="CK2" i="28" s="1"/>
  <c r="CG2" i="28"/>
  <c r="CC2" i="28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Y2" i="28"/>
  <c r="W2" i="28"/>
  <c r="W3" i="28" s="1"/>
  <c r="W4" i="28" s="1"/>
  <c r="U2" i="28"/>
  <c r="S2" i="28"/>
  <c r="O2" i="28"/>
  <c r="M2" i="28"/>
  <c r="Q2" i="28" s="1"/>
  <c r="Q3" i="28" s="1"/>
  <c r="I2" i="28"/>
  <c r="G2" i="28"/>
  <c r="E2" i="28" s="1"/>
  <c r="C2" i="28"/>
  <c r="FD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Q3" i="21" s="1"/>
  <c r="BC17" i="21"/>
  <c r="AK17" i="21"/>
  <c r="AK10" i="21" s="1"/>
  <c r="S17" i="21"/>
  <c r="S9" i="21" s="1"/>
  <c r="M17" i="21"/>
  <c r="AY16" i="21"/>
  <c r="W16" i="21"/>
  <c r="S16" i="21"/>
  <c r="BC15" i="21"/>
  <c r="AE15" i="21"/>
  <c r="S15" i="21"/>
  <c r="Y14" i="21"/>
  <c r="M14" i="21"/>
  <c r="M13" i="21"/>
  <c r="Y12" i="21"/>
  <c r="AE11" i="21"/>
  <c r="AE10" i="21" s="1"/>
  <c r="K11" i="21"/>
  <c r="AQ10" i="21"/>
  <c r="AM10" i="21"/>
  <c r="Y10" i="21"/>
  <c r="S10" i="21"/>
  <c r="AS9" i="21"/>
  <c r="AG9" i="21"/>
  <c r="AA9" i="21"/>
  <c r="AA3" i="21" s="1"/>
  <c r="U9" i="21"/>
  <c r="M9" i="21"/>
  <c r="AM8" i="21"/>
  <c r="AK8" i="21"/>
  <c r="AG8" i="21"/>
  <c r="G8" i="21"/>
  <c r="AS7" i="21"/>
  <c r="AS3" i="21" s="1"/>
  <c r="AO6" i="21"/>
  <c r="AO3" i="21" s="1"/>
  <c r="O6" i="21"/>
  <c r="K6" i="21"/>
  <c r="K3" i="21" s="1"/>
  <c r="I6" i="21"/>
  <c r="AK5" i="21"/>
  <c r="O5" i="21"/>
  <c r="I5" i="21"/>
  <c r="AY3" i="21"/>
  <c r="AI3" i="21"/>
  <c r="U3" i="21"/>
  <c r="O3" i="21"/>
  <c r="I3" i="21"/>
  <c r="E3" i="21"/>
  <c r="C3" i="21"/>
  <c r="G3" i="21" s="1"/>
  <c r="E28" i="19"/>
  <c r="E31" i="19" s="1"/>
  <c r="E21" i="19" s="1"/>
  <c r="B28" i="19"/>
  <c r="B31" i="19" s="1"/>
  <c r="B21" i="19" s="1"/>
  <c r="E22" i="19"/>
  <c r="B22" i="19"/>
  <c r="AF10" i="19"/>
  <c r="W10" i="19"/>
  <c r="N10" i="19"/>
  <c r="N1" i="19" s="1"/>
  <c r="K10" i="19"/>
  <c r="K1" i="19" s="1"/>
  <c r="BS9" i="19"/>
  <c r="BS1" i="19" s="1"/>
  <c r="BA9" i="19"/>
  <c r="E8" i="19"/>
  <c r="BS7" i="19"/>
  <c r="BP7" i="19"/>
  <c r="BP9" i="19" s="1"/>
  <c r="BM7" i="19"/>
  <c r="BM9" i="19" s="1"/>
  <c r="BM1" i="19" s="1"/>
  <c r="BJ7" i="19"/>
  <c r="BJ9" i="19" s="1"/>
  <c r="BG7" i="19"/>
  <c r="BG9" i="19" s="1"/>
  <c r="BD7" i="19"/>
  <c r="BD9" i="19" s="1"/>
  <c r="BD1" i="19" s="1"/>
  <c r="BA7" i="19"/>
  <c r="AX7" i="19"/>
  <c r="AX9" i="19" s="1"/>
  <c r="AX1" i="19" s="1"/>
  <c r="AU7" i="19"/>
  <c r="AU9" i="19" s="1"/>
  <c r="AU1" i="19" s="1"/>
  <c r="AR7" i="19"/>
  <c r="AR9" i="19" s="1"/>
  <c r="AO7" i="19"/>
  <c r="AO9" i="19" s="1"/>
  <c r="AO1" i="19" s="1"/>
  <c r="AL7" i="19"/>
  <c r="AL10" i="19" s="1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T4" i="19"/>
  <c r="Q4" i="19"/>
  <c r="Q1" i="19" s="1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F1" i="19"/>
  <c r="HW3" i="32" l="1"/>
  <c r="DT11" i="32"/>
  <c r="BP1" i="19"/>
  <c r="Y6" i="21"/>
  <c r="S11" i="21"/>
  <c r="S12" i="21" s="1"/>
  <c r="EG2" i="28"/>
  <c r="EG3" i="28" s="1"/>
  <c r="EG4" i="28" s="1"/>
  <c r="AC2" i="28"/>
  <c r="AC3" i="28" s="1"/>
  <c r="AF36" i="44"/>
  <c r="AF38" i="44" s="1"/>
  <c r="AJ36" i="44"/>
  <c r="Q4" i="28"/>
  <c r="CK3" i="28"/>
  <c r="CK4" i="28" s="1"/>
  <c r="AB36" i="44"/>
  <c r="AB38" i="44" s="1"/>
  <c r="EA2" i="28"/>
  <c r="EA3" i="28" s="1"/>
  <c r="EA4" i="28" s="1"/>
  <c r="E1" i="19"/>
  <c r="AG3" i="21"/>
  <c r="BG2" i="28"/>
  <c r="BG3" i="28" s="1"/>
  <c r="BG4" i="28" s="1"/>
  <c r="BG5" i="28" s="1"/>
  <c r="B35" i="42"/>
  <c r="AN36" i="44"/>
  <c r="AN38" i="44" s="1"/>
  <c r="AV36" i="44"/>
  <c r="AV38" i="44" s="1"/>
  <c r="AM3" i="21"/>
  <c r="AQ3" i="21" s="1"/>
  <c r="AQ4" i="21" s="1"/>
  <c r="CQ2" i="28"/>
  <c r="CQ3" i="28" s="1"/>
  <c r="CQ4" i="28" s="1"/>
  <c r="AC8" i="28"/>
  <c r="JG2" i="32"/>
  <c r="M4" i="21"/>
  <c r="M7" i="21" s="1"/>
  <c r="CU2" i="28"/>
  <c r="CW2" i="28" s="1"/>
  <c r="CW3" i="28" s="1"/>
  <c r="CW4" i="28" s="1"/>
  <c r="IC27" i="32"/>
  <c r="D36" i="44"/>
  <c r="AQ5" i="21"/>
  <c r="AQ7" i="21" s="1"/>
  <c r="BS2" i="28"/>
  <c r="BS3" i="28" s="1"/>
  <c r="BS4" i="28" s="1"/>
  <c r="BS5" i="28" s="1"/>
  <c r="DI2" i="28"/>
  <c r="AK7" i="21"/>
  <c r="W1" i="19"/>
  <c r="BG1" i="19"/>
  <c r="M3" i="21"/>
  <c r="Y9" i="21"/>
  <c r="BC3" i="21"/>
  <c r="FC15" i="28"/>
  <c r="AO8" i="28"/>
  <c r="LC2" i="32"/>
  <c r="EF9" i="32"/>
  <c r="FG2" i="32"/>
  <c r="KI4" i="32"/>
  <c r="KI2" i="32" s="1"/>
  <c r="MA40" i="32"/>
  <c r="GU10" i="32"/>
  <c r="GM3" i="32"/>
  <c r="OI2" i="32"/>
  <c r="MA2" i="32"/>
  <c r="AX2" i="32"/>
  <c r="AV2" i="32" s="1"/>
  <c r="AV3" i="32" s="1"/>
  <c r="HA10" i="32"/>
  <c r="IC31" i="32"/>
  <c r="MW2" i="32"/>
  <c r="HA9" i="32"/>
  <c r="HK3" i="32"/>
  <c r="F2" i="32"/>
  <c r="F3" i="32" s="1"/>
  <c r="KO4" i="32"/>
  <c r="KO2" i="32" s="1"/>
  <c r="LI2" i="32"/>
  <c r="FW8" i="32"/>
  <c r="MG48" i="32"/>
  <c r="DP2" i="32"/>
  <c r="DT2" i="32" s="1"/>
  <c r="DT3" i="32" s="1"/>
  <c r="DT4" i="32" s="1"/>
  <c r="JM2" i="32"/>
  <c r="IY2" i="32"/>
  <c r="FA2" i="32"/>
  <c r="P38" i="44"/>
  <c r="HE3" i="32"/>
  <c r="NE30" i="32"/>
  <c r="FE7" i="32"/>
  <c r="IC2" i="32"/>
  <c r="DN9" i="32"/>
  <c r="KQ42" i="32"/>
  <c r="KY6" i="32"/>
  <c r="BL2" i="32"/>
  <c r="BL3" i="32" s="1"/>
  <c r="JK2" i="32"/>
  <c r="NQ2" i="32"/>
  <c r="LU2" i="32"/>
  <c r="NW2" i="32"/>
  <c r="NY2" i="32" s="1"/>
  <c r="DT10" i="32"/>
  <c r="HG10" i="32"/>
  <c r="OM2" i="32"/>
  <c r="LG2" i="32"/>
  <c r="II49" i="32"/>
  <c r="MG49" i="32"/>
  <c r="LI37" i="32"/>
  <c r="D38" i="44"/>
  <c r="CJ5" i="32"/>
  <c r="X11" i="32"/>
  <c r="AV5" i="32"/>
  <c r="MS2" i="32"/>
  <c r="MU2" i="32" s="1"/>
  <c r="MU3" i="32" s="1"/>
  <c r="DH5" i="32"/>
  <c r="OK5" i="32"/>
  <c r="DB5" i="32"/>
  <c r="NK27" i="32"/>
  <c r="JM32" i="32"/>
  <c r="IO2" i="32"/>
  <c r="NE2" i="32"/>
  <c r="NG2" i="32" s="1"/>
  <c r="R7" i="32"/>
  <c r="KK2" i="32"/>
  <c r="BB2" i="32"/>
  <c r="BF2" i="32" s="1"/>
  <c r="KG5" i="32"/>
  <c r="FK5" i="32"/>
  <c r="EF5" i="32"/>
  <c r="EF2" i="32"/>
  <c r="DN6" i="32"/>
  <c r="BZ2" i="32"/>
  <c r="BX2" i="32" s="1"/>
  <c r="GG3" i="32"/>
  <c r="GI3" i="32" s="1"/>
  <c r="KK41" i="32"/>
  <c r="FU2" i="32"/>
  <c r="II2" i="32"/>
  <c r="X5" i="32"/>
  <c r="JI5" i="32"/>
  <c r="HG9" i="32"/>
  <c r="CV2" i="32"/>
  <c r="ME2" i="32"/>
  <c r="MI2" i="32" s="1"/>
  <c r="MI3" i="32" s="1"/>
  <c r="FW5" i="32"/>
  <c r="NA5" i="32"/>
  <c r="NE31" i="32"/>
  <c r="KE2" i="32"/>
  <c r="JA2" i="32"/>
  <c r="NO2" i="32"/>
  <c r="KQ2" i="32"/>
  <c r="JM31" i="32"/>
  <c r="CP5" i="32"/>
  <c r="GI6" i="32"/>
  <c r="HW28" i="32"/>
  <c r="AJ2" i="32"/>
  <c r="AJ4" i="32" s="1"/>
  <c r="NS5" i="32"/>
  <c r="IG2" i="32"/>
  <c r="IE2" i="32" s="1"/>
  <c r="FI2" i="32"/>
  <c r="MS36" i="32"/>
  <c r="LA2" i="32"/>
  <c r="GU9" i="32"/>
  <c r="DF2" i="32"/>
  <c r="DH2" i="32" s="1"/>
  <c r="DH3" i="32" s="1"/>
  <c r="IM2" i="32"/>
  <c r="NW46" i="32"/>
  <c r="HQ28" i="32"/>
  <c r="HS5" i="32"/>
  <c r="FY2" i="32"/>
  <c r="GE2" i="32" s="1"/>
  <c r="BL5" i="32"/>
  <c r="DN5" i="32"/>
  <c r="DT6" i="32"/>
  <c r="KW47" i="32"/>
  <c r="OG2" i="32"/>
  <c r="AD2" i="32"/>
  <c r="AD3" i="32" s="1"/>
  <c r="EO2" i="32"/>
  <c r="EM2" i="32" s="1"/>
  <c r="MI5" i="32"/>
  <c r="LO36" i="32"/>
  <c r="DH9" i="32"/>
  <c r="HG2" i="32"/>
  <c r="FS2" i="32"/>
  <c r="FQ2" i="32" s="1"/>
  <c r="FQ3" i="32" s="1"/>
  <c r="GO9" i="32"/>
  <c r="EM5" i="32"/>
  <c r="LK5" i="32"/>
  <c r="GA3" i="32"/>
  <c r="GC3" i="32" s="1"/>
  <c r="GC4" i="32" s="1"/>
  <c r="LU38" i="32"/>
  <c r="EW2" i="32"/>
  <c r="KS5" i="32"/>
  <c r="MY31" i="32"/>
  <c r="JA33" i="32"/>
  <c r="FQ8" i="32"/>
  <c r="JG32" i="32"/>
  <c r="MY34" i="32"/>
  <c r="NK30" i="32"/>
  <c r="IS2" i="32"/>
  <c r="L2" i="32"/>
  <c r="AP2" i="32"/>
  <c r="GO6" i="32"/>
  <c r="LC36" i="32"/>
  <c r="F6" i="32"/>
  <c r="MM42" i="32"/>
  <c r="HW30" i="32"/>
  <c r="IU27" i="32"/>
  <c r="HW29" i="32"/>
  <c r="HU3" i="32"/>
  <c r="HU2" i="32" s="1"/>
  <c r="MM2" i="32"/>
  <c r="MO2" i="32" s="1"/>
  <c r="MO3" i="32" s="1"/>
  <c r="AP5" i="32"/>
  <c r="DZ5" i="32"/>
  <c r="FK7" i="32"/>
  <c r="MY32" i="32"/>
  <c r="JG34" i="32"/>
  <c r="GC6" i="32"/>
  <c r="LI35" i="32"/>
  <c r="LO2" i="32"/>
  <c r="LQ2" i="32" s="1"/>
  <c r="LQ4" i="32" s="1"/>
  <c r="JS29" i="32"/>
  <c r="JY43" i="32"/>
  <c r="II48" i="32"/>
  <c r="CV10" i="32"/>
  <c r="KW50" i="32"/>
  <c r="X2" i="32"/>
  <c r="BF5" i="32"/>
  <c r="MY2" i="32"/>
  <c r="NA2" i="32" s="1"/>
  <c r="NA3" i="32" s="1"/>
  <c r="NW51" i="32"/>
  <c r="JY45" i="32"/>
  <c r="HG6" i="32"/>
  <c r="HG8" i="32"/>
  <c r="JW2" i="32"/>
  <c r="NK2" i="32"/>
  <c r="MA35" i="32"/>
  <c r="FE5" i="32"/>
  <c r="OC2" i="32"/>
  <c r="KW2" i="32"/>
  <c r="HA5" i="32"/>
  <c r="LW5" i="32"/>
  <c r="IU2" i="32"/>
  <c r="ES7" i="32"/>
  <c r="JY44" i="32"/>
  <c r="JA35" i="32"/>
  <c r="JE2" i="32"/>
  <c r="DH8" i="32"/>
  <c r="NM5" i="32"/>
  <c r="II47" i="32"/>
  <c r="KQ40" i="32"/>
  <c r="HM2" i="32"/>
  <c r="MO5" i="32"/>
  <c r="NQ33" i="32"/>
  <c r="LI36" i="32"/>
  <c r="MG45" i="32"/>
  <c r="NE28" i="32"/>
  <c r="MM41" i="32"/>
  <c r="LC42" i="32"/>
  <c r="JY46" i="32"/>
  <c r="AP6" i="32"/>
  <c r="NW49" i="32"/>
  <c r="MY33" i="32"/>
  <c r="R2" i="32"/>
  <c r="R4" i="32" s="1"/>
  <c r="CJ2" i="32"/>
  <c r="GI9" i="32"/>
  <c r="HQ31" i="32"/>
  <c r="OI37" i="32"/>
  <c r="DZ9" i="32"/>
  <c r="KW48" i="32"/>
  <c r="KK37" i="32"/>
  <c r="LC41" i="32"/>
  <c r="JU5" i="32"/>
  <c r="JQ2" i="32"/>
  <c r="JA32" i="32"/>
  <c r="JS2" i="32"/>
  <c r="LU37" i="32"/>
  <c r="L4" i="32"/>
  <c r="KW49" i="32"/>
  <c r="LC43" i="32"/>
  <c r="GO3" i="32"/>
  <c r="GO4" i="32" s="1"/>
  <c r="JO13" i="32"/>
  <c r="JM28" i="32" s="1"/>
  <c r="LU36" i="32"/>
  <c r="NQ36" i="32"/>
  <c r="AD5" i="32"/>
  <c r="NW52" i="32"/>
  <c r="KA6" i="32"/>
  <c r="KM5" i="32"/>
  <c r="HW27" i="32"/>
  <c r="ES5" i="32"/>
  <c r="GU3" i="32"/>
  <c r="KE33" i="32"/>
  <c r="IC30" i="32"/>
  <c r="OC37" i="32"/>
  <c r="IE6" i="32"/>
  <c r="JY2" i="32"/>
  <c r="EM9" i="32"/>
  <c r="JG33" i="32"/>
  <c r="IQ5" i="32"/>
  <c r="DI3" i="28"/>
  <c r="DI4" i="28" s="1"/>
  <c r="Z1" i="19"/>
  <c r="BJ1" i="19"/>
  <c r="Y3" i="21"/>
  <c r="Y4" i="21" s="1"/>
  <c r="AO4" i="28"/>
  <c r="FD31" i="28"/>
  <c r="AE3" i="21"/>
  <c r="AK3" i="21"/>
  <c r="AK4" i="21" s="1"/>
  <c r="ES2" i="28"/>
  <c r="ES3" i="28" s="1"/>
  <c r="ES4" i="28" s="1"/>
  <c r="EF4" i="32"/>
  <c r="FF2" i="28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HO2" i="32"/>
  <c r="KC2" i="32"/>
  <c r="JM30" i="32"/>
  <c r="CV5" i="32"/>
  <c r="CV4" i="32" s="1"/>
  <c r="CV6" i="32"/>
  <c r="AI2" i="28"/>
  <c r="AI3" i="28" s="1"/>
  <c r="AI4" i="28" s="1"/>
  <c r="EM2" i="28"/>
  <c r="EM3" i="28" s="1"/>
  <c r="EM4" i="28" s="1"/>
  <c r="MC5" i="32"/>
  <c r="MA34" i="32"/>
  <c r="KK40" i="32"/>
  <c r="DN2" i="32"/>
  <c r="H1" i="19"/>
  <c r="AR1" i="19"/>
  <c r="K2" i="28"/>
  <c r="K3" i="28" s="1"/>
  <c r="K4" i="28" s="1"/>
  <c r="MU5" i="32"/>
  <c r="EF6" i="32"/>
  <c r="GU6" i="32"/>
  <c r="HK25" i="32"/>
  <c r="HM6" i="32"/>
  <c r="LQ6" i="32"/>
  <c r="J31" i="42"/>
  <c r="J33" i="42" s="1"/>
  <c r="I31" i="42"/>
  <c r="I33" i="42" s="1"/>
  <c r="NG5" i="32"/>
  <c r="NE27" i="32"/>
  <c r="Y7" i="21"/>
  <c r="CP2" i="32"/>
  <c r="EY7" i="32"/>
  <c r="EY5" i="32"/>
  <c r="DO2" i="28"/>
  <c r="DO3" i="28" s="1"/>
  <c r="DO4" i="28" s="1"/>
  <c r="NY5" i="32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OE5" i="32"/>
  <c r="HK28" i="32"/>
  <c r="LY2" i="32"/>
  <c r="LY4" i="32"/>
  <c r="HY7" i="32"/>
  <c r="HW25" i="32"/>
  <c r="IK6" i="32"/>
  <c r="HA8" i="32"/>
  <c r="MS39" i="32"/>
  <c r="H36" i="44"/>
  <c r="H38" i="44" s="1"/>
  <c r="DB2" i="32"/>
  <c r="FK2" i="32"/>
  <c r="JY40" i="32"/>
  <c r="IO37" i="32"/>
  <c r="IW14" i="32"/>
  <c r="FQ5" i="32"/>
  <c r="FQ10" i="32"/>
  <c r="LE6" i="32"/>
  <c r="L36" i="44"/>
  <c r="L38" i="44" s="1"/>
  <c r="AJ38" i="44"/>
  <c r="DC2" i="28"/>
  <c r="DC3" i="28" s="1"/>
  <c r="DC4" i="28" s="1"/>
  <c r="GQ38" i="32"/>
  <c r="GQ2" i="32" s="1"/>
  <c r="GU8" i="32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FC20" i="28" l="1"/>
  <c r="FC18" i="28" s="1"/>
  <c r="AC4" i="28"/>
  <c r="FE2" i="32"/>
  <c r="FE3" i="32" s="1"/>
  <c r="LK2" i="32"/>
  <c r="LK3" i="32" s="1"/>
  <c r="AZ2" i="32"/>
  <c r="OK2" i="32"/>
  <c r="OK4" i="32" s="1"/>
  <c r="AV4" i="32"/>
  <c r="MI4" i="32"/>
  <c r="KM2" i="32"/>
  <c r="KM3" i="32" s="1"/>
  <c r="KS2" i="32"/>
  <c r="KS3" i="32" s="1"/>
  <c r="NS2" i="32"/>
  <c r="NS3" i="32" s="1"/>
  <c r="CV3" i="32"/>
  <c r="LE2" i="32"/>
  <c r="LE4" i="32" s="1"/>
  <c r="EY2" i="32"/>
  <c r="EY3" i="32" s="1"/>
  <c r="IK2" i="32"/>
  <c r="IK3" i="32" s="1"/>
  <c r="IK4" i="32" s="1"/>
  <c r="X4" i="32"/>
  <c r="FW2" i="32"/>
  <c r="IQ2" i="32"/>
  <c r="IQ4" i="32" s="1"/>
  <c r="JI2" i="32"/>
  <c r="NY3" i="32"/>
  <c r="AD4" i="32"/>
  <c r="JO2" i="32"/>
  <c r="JO3" i="32" s="1"/>
  <c r="AJ3" i="32"/>
  <c r="NY4" i="32"/>
  <c r="OE2" i="32"/>
  <c r="OE3" i="32" s="1"/>
  <c r="MC2" i="32"/>
  <c r="MC4" i="32" s="1"/>
  <c r="X3" i="32"/>
  <c r="L3" i="32"/>
  <c r="NM2" i="32"/>
  <c r="NM3" i="32" s="1"/>
  <c r="BL4" i="32"/>
  <c r="EF3" i="32"/>
  <c r="CJ4" i="32"/>
  <c r="JC2" i="32"/>
  <c r="MO4" i="32"/>
  <c r="GC5" i="32"/>
  <c r="FE4" i="32"/>
  <c r="ES2" i="32"/>
  <c r="ES3" i="32" s="1"/>
  <c r="AP4" i="32"/>
  <c r="BX4" i="32"/>
  <c r="BX3" i="32"/>
  <c r="HY2" i="32"/>
  <c r="HY6" i="32" s="1"/>
  <c r="HM5" i="32"/>
  <c r="KY2" i="32"/>
  <c r="HM3" i="32"/>
  <c r="HM4" i="32" s="1"/>
  <c r="R3" i="32"/>
  <c r="CD2" i="32"/>
  <c r="CD4" i="32" s="1"/>
  <c r="FQ4" i="32"/>
  <c r="KA2" i="32"/>
  <c r="KA4" i="32" s="1"/>
  <c r="GO5" i="32"/>
  <c r="HS2" i="32"/>
  <c r="HS3" i="32" s="1"/>
  <c r="DT5" i="32"/>
  <c r="NG3" i="32"/>
  <c r="NG4" i="32"/>
  <c r="NA4" i="32"/>
  <c r="CJ3" i="32"/>
  <c r="AP3" i="32"/>
  <c r="HG3" i="32"/>
  <c r="HG4" i="32" s="1"/>
  <c r="GU4" i="32"/>
  <c r="LQ5" i="32"/>
  <c r="IW2" i="32"/>
  <c r="HG5" i="32"/>
  <c r="GU5" i="32"/>
  <c r="JO5" i="32"/>
  <c r="JU2" i="32"/>
  <c r="DH4" i="32"/>
  <c r="LW2" i="32"/>
  <c r="LW3" i="32" s="1"/>
  <c r="MU4" i="32"/>
  <c r="DN3" i="32"/>
  <c r="DN4" i="32"/>
  <c r="HA3" i="32"/>
  <c r="HA4" i="32"/>
  <c r="IE5" i="32"/>
  <c r="IE3" i="32"/>
  <c r="IE4" i="32" s="1"/>
  <c r="DZ3" i="32"/>
  <c r="DZ4" i="32"/>
  <c r="CP3" i="32"/>
  <c r="CP4" i="32"/>
  <c r="EM3" i="32"/>
  <c r="EM4" i="32"/>
  <c r="JI4" i="32"/>
  <c r="JI3" i="32"/>
  <c r="BF3" i="32"/>
  <c r="BF4" i="32"/>
  <c r="S7" i="21"/>
  <c r="IW6" i="32"/>
  <c r="IU24" i="32"/>
  <c r="JA30" i="32"/>
  <c r="JC6" i="32"/>
  <c r="FW4" i="32"/>
  <c r="FW3" i="32"/>
  <c r="KG2" i="32"/>
  <c r="FC22" i="28"/>
  <c r="BR3" i="32"/>
  <c r="BR4" i="32"/>
  <c r="FK3" i="32"/>
  <c r="FK4" i="32"/>
  <c r="AE4" i="21"/>
  <c r="GI5" i="32"/>
  <c r="GI4" i="32"/>
  <c r="DB3" i="32"/>
  <c r="DB4" i="32"/>
  <c r="S4" i="21"/>
  <c r="KS4" i="32" l="1"/>
  <c r="ES4" i="32"/>
  <c r="OK3" i="32"/>
  <c r="LK4" i="32"/>
  <c r="NS4" i="32"/>
  <c r="JO4" i="32"/>
  <c r="KM4" i="32"/>
  <c r="EY4" i="32"/>
  <c r="LE5" i="32"/>
  <c r="IQ3" i="32"/>
  <c r="LW4" i="32"/>
  <c r="IK5" i="32"/>
  <c r="OE4" i="32"/>
  <c r="MC3" i="32"/>
  <c r="HY4" i="32"/>
  <c r="HY5" i="32" s="1"/>
  <c r="JC5" i="32"/>
  <c r="JC3" i="32"/>
  <c r="JC4" i="32" s="1"/>
  <c r="NM4" i="32"/>
  <c r="HS4" i="32"/>
  <c r="KY5" i="32"/>
  <c r="KY4" i="32"/>
  <c r="CD3" i="32"/>
  <c r="KA5" i="32"/>
  <c r="IW3" i="32"/>
  <c r="IW4" i="32" s="1"/>
  <c r="IW5" i="32"/>
  <c r="JU4" i="32"/>
  <c r="JU3" i="32"/>
  <c r="FD32" i="28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<sst xmlns="http://schemas.openxmlformats.org/spreadsheetml/2006/main" count="9161" uniqueCount="3795">
  <si>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</si>
  <si>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</si>
  <si>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</si>
  <si>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</si>
  <si>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</si>
  <si>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</si>
  <si>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</si>
  <si>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</si>
  <si>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</si>
  <si>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</si>
  <si>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</si>
  <si>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</si>
  <si>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</si>
  <si>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</si>
  <si>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</si>
  <si>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</si>
  <si>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</si>
  <si>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</si>
  <si>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</si>
  <si>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</si>
  <si>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</si>
  <si>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</si>
  <si>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</si>
  <si>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</si>
  <si>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</si>
  <si>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</si>
  <si>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</si>
  <si>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</si>
  <si>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</si>
  <si>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</si>
  <si>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</si>
  <si>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</si>
  <si>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</si>
  <si>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</si>
  <si>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</si>
  <si>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</si>
  <si>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</si>
  <si>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</si>
  <si>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</si>
  <si>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</si>
  <si>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</si>
  <si>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</si>
  <si>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</si>
  <si>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</si>
  <si>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</si>
  <si>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</si>
  <si>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</si>
  <si>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</si>
  <si>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</si>
  <si>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</si>
  <si>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</si>
  <si>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</si>
  <si>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</si>
  <si>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</si>
  <si>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</si>
  <si>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</si>
  <si>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</si>
  <si>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</si>
  <si>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</si>
  <si>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</si>
  <si>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</si>
  <si>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</si>
  <si>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</si>
  <si>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</si>
  <si>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</si>
  <si>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</si>
  <si>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</si>
  <si>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</si>
  <si>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</si>
  <si>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</si>
  <si>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</si>
  <si>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</si>
  <si>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</si>
  <si>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</si>
  <si>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</si>
  <si>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</si>
  <si>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</si>
  <si>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</si>
  <si>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</si>
  <si>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</si>
  <si>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</si>
  <si>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</si>
  <si>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</si>
  <si>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</si>
  <si>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</si>
  <si>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</si>
  <si>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</si>
  <si>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</si>
  <si>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</si>
  <si>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</si>
  <si>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</si>
  <si>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</si>
  <si>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</si>
  <si>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</si>
  <si>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</si>
  <si>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</si>
  <si>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</si>
  <si>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</si>
  <si>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</si>
  <si>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</si>
  <si>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</si>
  <si>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</si>
  <si>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</si>
  <si>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</si>
  <si>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</si>
  <si>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</si>
  <si>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</si>
  <si>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</si>
  <si>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</si>
  <si>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</si>
  <si>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</si>
  <si>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</si>
  <si>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</si>
  <si>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</si>
  <si>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</si>
  <si>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</si>
  <si>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</si>
  <si>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</si>
  <si>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</si>
  <si>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</si>
  <si>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</si>
  <si>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</si>
  <si>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</si>
  <si>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</si>
  <si>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</si>
  <si>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</si>
  <si>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</si>
  <si>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</si>
  <si>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</si>
  <si>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</si>
  <si>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</si>
  <si>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</si>
  <si>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</si>
  <si>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</si>
  <si>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</si>
  <si>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</si>
  <si>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</si>
  <si>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</si>
  <si>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</si>
  <si>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</si>
  <si>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</si>
  <si>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</si>
  <si>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</si>
  <si>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</si>
  <si>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</si>
  <si>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</si>
  <si>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</si>
  <si>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</si>
  <si>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</si>
  <si>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</si>
  <si>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</si>
  <si>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</si>
  <si>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</si>
  <si>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</si>
  <si>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</si>
  <si>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</si>
  <si>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</si>
  <si>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</si>
  <si>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</si>
  <si>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</si>
  <si>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</si>
  <si>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</si>
  <si>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</si>
  <si>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</si>
  <si>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</si>
  <si>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</si>
  <si>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</si>
  <si>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</si>
  <si>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</si>
  <si>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</si>
  <si>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</si>
  <si>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</si>
  <si>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</si>
  <si>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</si>
  <si>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</si>
  <si>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</si>
  <si>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</si>
  <si>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</si>
  <si>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</si>
  <si>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</si>
  <si>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</si>
  <si>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</si>
  <si>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</si>
  <si>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</si>
  <si>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</si>
  <si>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</si>
  <si>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</si>
  <si>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</si>
  <si>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</si>
  <si>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</si>
  <si>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</si>
  <si>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</si>
  <si>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</si>
  <si>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</si>
  <si>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</si>
  <si>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</si>
  <si>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</si>
  <si>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</si>
  <si>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</si>
  <si>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</si>
  <si>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</si>
  <si>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</si>
  <si>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</si>
  <si>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</si>
  <si>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</si>
  <si>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</si>
  <si>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</si>
  <si>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</si>
  <si>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</si>
  <si>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</si>
  <si>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</si>
  <si>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</si>
  <si>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</si>
  <si>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</si>
  <si>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</si>
  <si>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</si>
  <si>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</si>
  <si>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</si>
  <si>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</si>
  <si>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</si>
  <si>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</si>
  <si>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</si>
  <si>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</si>
  <si>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</si>
  <si>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</si>
  <si>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</si>
  <si>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</si>
  <si>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</si>
  <si>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</si>
  <si>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</si>
  <si>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</si>
  <si>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</si>
  <si>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</si>
  <si>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</si>
  <si>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</si>
  <si>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</si>
  <si>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</si>
  <si>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</si>
  <si>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</si>
  <si>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</si>
  <si>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</si>
  <si>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</si>
  <si>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</si>
  <si>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</si>
  <si>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</si>
  <si>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</si>
  <si>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</si>
  <si>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</si>
  <si>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</si>
  <si>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</si>
  <si>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</si>
  <si>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</si>
  <si>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</si>
  <si>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</si>
  <si>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</si>
  <si>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</si>
  <si>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</si>
  <si>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</si>
  <si>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</si>
  <si>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</si>
  <si>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</si>
  <si>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</si>
  <si>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</si>
  <si>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</si>
  <si>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</si>
  <si>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</si>
  <si>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</si>
  <si>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</si>
  <si>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</si>
  <si>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</si>
  <si>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</si>
  <si>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</si>
  <si>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</si>
  <si>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</si>
  <si>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</si>
  <si>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</si>
  <si>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</si>
  <si>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</si>
  <si>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</si>
  <si>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</si>
  <si>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</si>
  <si>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</si>
  <si>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</si>
  <si>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</si>
  <si>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</si>
  <si>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</si>
  <si>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</si>
  <si>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</si>
  <si>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</si>
  <si>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</si>
  <si>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</si>
  <si>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</si>
  <si>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</si>
  <si>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</si>
  <si>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</si>
  <si>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</si>
  <si>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</si>
  <si>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</si>
  <si>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</si>
  <si>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</si>
  <si>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</si>
  <si>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</si>
  <si>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</si>
  <si>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</si>
  <si>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</si>
  <si>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</si>
  <si>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</si>
  <si>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</si>
  <si>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</si>
  <si>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</si>
  <si>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</si>
  <si>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</si>
  <si>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</si>
  <si>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</si>
  <si>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</si>
  <si>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</si>
  <si>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</si>
  <si>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</si>
  <si>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</si>
  <si>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</si>
  <si>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</si>
  <si>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</si>
  <si>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</si>
  <si>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</si>
  <si>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</si>
  <si>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</si>
  <si>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</si>
  <si>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</si>
  <si>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</si>
  <si>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</si>
  <si>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</si>
  <si>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</si>
  <si>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</si>
  <si>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</si>
  <si>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</si>
  <si>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</si>
  <si>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</si>
  <si>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</si>
  <si>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</si>
  <si>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</si>
  <si>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</si>
  <si>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</si>
  <si>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</si>
  <si>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</si>
  <si>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</si>
  <si>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</si>
  <si>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</si>
  <si>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</si>
  <si>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</si>
  <si>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</si>
  <si>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</si>
  <si>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</si>
  <si>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</si>
  <si>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</si>
  <si>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</si>
  <si>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</si>
  <si>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</si>
  <si>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</si>
  <si>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</si>
  <si>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</si>
  <si>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</si>
  <si>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</si>
  <si>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</si>
  <si>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</si>
  <si>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</si>
  <si>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</si>
  <si>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</si>
  <si>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</si>
  <si>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</si>
  <si>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</si>
  <si>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</si>
  <si>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</si>
  <si>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</si>
  <si>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</si>
  <si>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</si>
  <si>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</si>
  <si>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</si>
  <si>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</si>
  <si>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</si>
  <si>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</si>
  <si>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</si>
  <si>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</si>
  <si>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</si>
  <si>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</si>
  <si>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</si>
  <si>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</si>
  <si>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</si>
  <si>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</si>
  <si>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</si>
  <si>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</si>
  <si>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</si>
  <si>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</si>
  <si>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</si>
  <si>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</si>
  <si>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</si>
  <si>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</si>
  <si>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</si>
  <si>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</si>
  <si>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</si>
  <si>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</si>
  <si>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</si>
  <si>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</si>
  <si>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</si>
  <si>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</si>
  <si>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</si>
  <si>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</si>
  <si>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</si>
  <si>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</si>
  <si>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</si>
  <si>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</si>
  <si>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</si>
  <si>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</si>
  <si>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</si>
  <si>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</si>
  <si>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</si>
  <si>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</si>
  <si>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</si>
  <si>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</si>
  <si>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</si>
  <si>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</si>
  <si>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</si>
  <si>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</si>
  <si>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</si>
  <si>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</si>
  <si>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</si>
  <si>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</si>
  <si>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</si>
  <si>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</si>
  <si>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</si>
  <si>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</si>
  <si>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</si>
  <si>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</si>
  <si>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</si>
  <si>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</si>
  <si>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</si>
  <si>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</si>
  <si>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</si>
  <si>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</si>
  <si>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</si>
  <si>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</si>
  <si>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</si>
  <si>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</si>
  <si>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</si>
  <si>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</si>
  <si>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</si>
  <si>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</si>
  <si>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</si>
  <si>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</si>
  <si>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</si>
  <si>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</si>
  <si>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</si>
  <si>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</si>
  <si>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</si>
  <si>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</si>
  <si>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</si>
  <si>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</si>
  <si>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</si>
  <si>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</si>
  <si>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</si>
  <si>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</si>
  <si>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</si>
  <si>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</si>
  <si>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</si>
  <si>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</si>
  <si>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</si>
  <si>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</si>
  <si>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</si>
  <si>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</si>
  <si>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</si>
  <si>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</si>
  <si>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</si>
  <si>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</si>
  <si>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</si>
  <si>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</si>
  <si>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</si>
  <si>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</si>
  <si>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</si>
  <si>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</si>
  <si>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</si>
  <si>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</si>
  <si>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</si>
  <si>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</si>
  <si>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</si>
  <si>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</si>
  <si>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</si>
  <si>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</si>
  <si>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</si>
  <si>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</si>
  <si>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</si>
  <si>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</si>
  <si>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</si>
  <si>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</si>
  <si>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</si>
  <si>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</si>
  <si>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</si>
  <si>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</si>
  <si>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</si>
  <si>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</si>
  <si>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</si>
  <si>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</si>
  <si>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</si>
  <si>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</si>
  <si>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</si>
  <si>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</si>
  <si>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</si>
  <si>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</si>
  <si>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</si>
  <si>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</si>
  <si>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</si>
  <si>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</si>
  <si>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</si>
  <si>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</si>
  <si>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</si>
  <si>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</si>
  <si>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</si>
  <si>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</si>
  <si>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</si>
  <si>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</si>
  <si>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</si>
  <si>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</si>
  <si>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</si>
  <si>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</si>
  <si>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</si>
  <si>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</si>
  <si>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</si>
  <si>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</si>
  <si>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</si>
  <si>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</si>
  <si>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</si>
  <si>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</si>
  <si>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</si>
  <si>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</si>
  <si>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</si>
  <si>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</si>
  <si>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</si>
  <si>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</si>
  <si>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</si>
  <si>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</si>
  <si>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</si>
  <si>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</si>
  <si>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</si>
  <si>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</si>
  <si>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</si>
  <si>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</si>
  <si>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</si>
  <si>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</si>
  <si>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</si>
  <si>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</si>
  <si>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</si>
  <si>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</si>
  <si>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</si>
  <si>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</si>
  <si>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</si>
  <si>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</si>
  <si>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</si>
  <si>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</si>
  <si>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</si>
  <si>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</si>
  <si>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</si>
  <si>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</si>
  <si>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</si>
  <si>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</si>
  <si>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</si>
  <si>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</si>
  <si>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</si>
  <si>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</si>
  <si>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</si>
  <si>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</si>
  <si>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</si>
  <si>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</si>
  <si>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</si>
  <si>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</si>
  <si>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</si>
  <si>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</si>
  <si>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</si>
  <si>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</si>
  <si>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</si>
  <si>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</si>
  <si>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</si>
  <si>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</si>
  <si>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</si>
  <si>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</si>
  <si>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</si>
  <si>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</si>
  <si>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</si>
  <si>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</si>
  <si>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</si>
  <si>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</si>
  <si>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</si>
  <si>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</si>
  <si>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</si>
  <si>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</si>
  <si>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</si>
  <si>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</si>
  <si>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</si>
  <si>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</si>
  <si>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</si>
  <si>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</si>
  <si>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</si>
  <si>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</si>
  <si>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</si>
  <si>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</si>
  <si>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</si>
  <si>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</si>
  <si>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</si>
  <si>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</si>
  <si>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</si>
  <si>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</si>
  <si>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</si>
  <si>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</si>
  <si>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</si>
  <si>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</si>
  <si>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</si>
  <si>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</si>
  <si>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</si>
  <si>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</si>
  <si>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</si>
  <si>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</si>
  <si>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</si>
  <si>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</si>
  <si>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</si>
  <si>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</si>
  <si>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</si>
  <si>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</si>
  <si>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</si>
  <si>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</si>
  <si>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</si>
  <si>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</si>
  <si>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</si>
  <si>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</si>
  <si>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</si>
  <si>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</si>
  <si>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</si>
  <si>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</si>
  <si>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</si>
  <si>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</si>
  <si>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</si>
  <si>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</si>
  <si>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</si>
  <si>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</si>
  <si>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</si>
  <si>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</si>
  <si>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</si>
  <si>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</si>
  <si>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</si>
  <si>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</si>
  <si>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</si>
  <si>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</si>
  <si>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</si>
  <si>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</si>
  <si>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</si>
  <si>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</si>
  <si>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</si>
  <si>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</si>
  <si>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</si>
  <si>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</si>
  <si>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</si>
  <si>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</si>
  <si>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</si>
  <si>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</si>
  <si>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</si>
  <si>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</si>
  <si>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</si>
  <si>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</si>
  <si>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</si>
  <si>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</si>
  <si>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</si>
  <si>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</si>
  <si>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</si>
  <si>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</si>
  <si>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</si>
  <si>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</si>
  <si>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</si>
  <si>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</si>
  <si>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</si>
  <si>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</si>
  <si>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</si>
  <si>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</si>
  <si>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</si>
  <si>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</si>
  <si>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</si>
  <si>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</si>
  <si>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</si>
  <si>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</si>
  <si>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</si>
  <si>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</si>
  <si>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</si>
  <si>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</si>
  <si>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</si>
  <si>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</si>
  <si>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</si>
  <si>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</si>
  <si>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</si>
  <si>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</si>
  <si>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</si>
  <si>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</si>
  <si>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</si>
  <si>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</si>
  <si>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</si>
  <si>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</si>
  <si>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</si>
  <si>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</si>
  <si>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</si>
  <si>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</si>
  <si>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</si>
  <si>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</si>
  <si>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</si>
  <si>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</si>
  <si>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</si>
  <si>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</si>
  <si>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</si>
  <si>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</si>
  <si>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</si>
  <si>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</si>
  <si>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</si>
  <si>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</si>
  <si>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</si>
  <si>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</si>
  <si>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</si>
  <si>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</si>
  <si>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</si>
  <si>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</si>
  <si>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</si>
  <si>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</si>
  <si>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</si>
  <si>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</si>
  <si>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</si>
  <si>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</si>
  <si>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</si>
  <si>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</si>
  <si>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</si>
  <si>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</si>
  <si>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</si>
  <si>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</si>
  <si>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</si>
  <si>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</si>
  <si>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</si>
  <si>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</si>
  <si>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</si>
  <si>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</si>
  <si>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</si>
  <si>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</si>
  <si>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</si>
  <si>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</si>
  <si>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</si>
  <si>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</si>
  <si>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</si>
  <si>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</si>
  <si>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</si>
  <si>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</si>
  <si>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</si>
  <si>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</si>
  <si>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</si>
  <si>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</si>
  <si>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</si>
  <si>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</si>
  <si>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</si>
  <si>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</si>
  <si>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</si>
  <si>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</si>
  <si>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</si>
  <si>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</si>
  <si>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</si>
  <si>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</si>
  <si>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</si>
  <si>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</si>
  <si>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</si>
  <si>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</si>
  <si>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</si>
  <si>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</si>
  <si>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</si>
  <si>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</si>
  <si>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</si>
  <si>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</si>
  <si>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</si>
  <si>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</si>
  <si>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</si>
  <si>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</si>
  <si>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</si>
  <si>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</si>
  <si>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</si>
  <si>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</si>
  <si>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</si>
  <si>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</si>
  <si>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</si>
  <si>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</si>
  <si>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</si>
  <si>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</si>
  <si>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</si>
  <si>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</si>
  <si>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</si>
  <si>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</si>
  <si>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</si>
  <si>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</si>
  <si>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</si>
  <si>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</si>
  <si>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</si>
  <si>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</si>
  <si>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</si>
  <si>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</si>
  <si>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</si>
  <si>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</si>
  <si>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</si>
  <si>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</si>
  <si>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</si>
  <si>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</si>
  <si>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</si>
  <si>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</si>
  <si>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</si>
  <si>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</si>
  <si>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</si>
  <si>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</si>
  <si>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</si>
  <si>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</si>
  <si>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</si>
  <si>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</si>
  <si>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</si>
  <si>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</si>
  <si>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</si>
  <si>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</si>
  <si>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</si>
  <si>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</si>
  <si>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</si>
  <si>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</si>
  <si>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</si>
  <si>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</si>
  <si>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</si>
  <si>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</si>
  <si>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</si>
  <si>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</si>
  <si>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</si>
  <si>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</si>
  <si>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</si>
  <si>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</si>
  <si>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</si>
  <si>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</si>
  <si>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</si>
  <si>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</si>
  <si>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</si>
  <si>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</si>
  <si>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</si>
  <si>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</si>
  <si>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</si>
  <si>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</si>
  <si>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</si>
  <si>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</si>
  <si>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</si>
  <si>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</si>
  <si>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</si>
  <si>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</si>
  <si>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</si>
  <si>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</si>
  <si>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</si>
  <si>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</si>
  <si>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</si>
  <si>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</si>
  <si>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</si>
  <si>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</si>
  <si>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</si>
  <si>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</si>
  <si>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</si>
  <si>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</si>
  <si>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</si>
  <si>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</si>
  <si>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</si>
  <si>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</si>
  <si>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</si>
  <si>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</si>
  <si>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</si>
  <si>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</si>
  <si>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</si>
  <si>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</si>
  <si>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</si>
  <si>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</si>
  <si>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</si>
  <si>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</si>
  <si>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</si>
  <si>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</si>
  <si>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</si>
  <si>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</si>
  <si>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</si>
  <si>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</si>
  <si>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</si>
  <si>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</si>
  <si>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</si>
  <si>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</si>
  <si>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</si>
  <si>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</si>
  <si>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</si>
  <si>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</si>
  <si>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</si>
  <si>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</si>
  <si>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</si>
  <si>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</si>
  <si>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</si>
  <si>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</si>
  <si>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</si>
  <si>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</si>
  <si>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</si>
  <si>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</si>
  <si>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</si>
  <si>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</si>
  <si>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</si>
  <si>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</si>
  <si>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</si>
  <si>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</si>
  <si>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</si>
  <si>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</si>
  <si>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</si>
  <si>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</si>
  <si>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</si>
  <si>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</si>
  <si>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</si>
  <si>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</si>
  <si>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</si>
  <si>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</si>
  <si>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</si>
  <si>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</si>
  <si>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</si>
  <si>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</si>
  <si>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</si>
  <si>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</si>
  <si>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</si>
  <si>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</si>
  <si>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</si>
  <si>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</si>
  <si>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</si>
  <si>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</si>
  <si>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</si>
  <si>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</si>
  <si>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</si>
  <si>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</si>
  <si>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</si>
  <si>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</si>
  <si>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</si>
  <si>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</si>
  <si>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</si>
  <si>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</si>
  <si>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</si>
  <si>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</si>
  <si>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</si>
  <si>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</si>
  <si>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</si>
  <si>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</si>
  <si>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</si>
  <si>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</si>
  <si>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</si>
  <si>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</si>
  <si>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</si>
  <si>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</si>
  <si>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</si>
  <si>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</si>
  <si>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</si>
  <si>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</si>
  <si>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</si>
  <si>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</si>
  <si>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</si>
  <si>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</si>
  <si>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</si>
  <si>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</si>
  <si>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</si>
  <si>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</si>
  <si>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</si>
  <si>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</si>
  <si>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</si>
  <si>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</si>
  <si>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</si>
  <si>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</si>
  <si>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</si>
  <si>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</si>
  <si>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</si>
  <si>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</si>
  <si>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</si>
  <si>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</si>
  <si>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</si>
  <si>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</si>
  <si>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</si>
  <si>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</si>
  <si>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</si>
  <si>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</si>
  <si>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</si>
  <si>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</si>
  <si>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</si>
  <si>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</si>
  <si>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</si>
  <si>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</si>
  <si>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</si>
  <si>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</si>
  <si>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</si>
  <si>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</si>
  <si>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</si>
  <si>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</si>
  <si>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</si>
  <si>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</si>
  <si>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</si>
  <si>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</si>
  <si>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</si>
  <si>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</si>
  <si>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</si>
  <si>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</si>
  <si>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</si>
  <si>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</si>
  <si>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</si>
  <si>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</si>
  <si>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</si>
  <si>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</si>
  <si>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</si>
  <si>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</si>
  <si>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</si>
  <si>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</si>
  <si>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</si>
  <si>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</si>
  <si>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</si>
  <si>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</si>
  <si>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</si>
  <si>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</si>
  <si>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</si>
  <si>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</si>
  <si>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</si>
  <si>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</si>
  <si>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</si>
  <si>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</si>
  <si>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</si>
  <si>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</si>
  <si>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</si>
  <si>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</si>
  <si>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</si>
  <si>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</si>
  <si>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</si>
  <si>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</si>
  <si>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</si>
  <si>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</si>
  <si>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</si>
  <si>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</si>
  <si>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</si>
  <si>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</si>
  <si>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</si>
  <si>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</si>
  <si>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</si>
  <si>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</si>
  <si>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</si>
  <si>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</si>
  <si>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</si>
  <si>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</si>
  <si>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</si>
  <si>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</si>
  <si>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</si>
  <si>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</si>
  <si>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</si>
  <si>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</si>
  <si>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</si>
  <si>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</si>
  <si>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</si>
  <si>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</si>
  <si>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</si>
  <si>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</si>
  <si>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</si>
  <si>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</si>
  <si>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</si>
  <si>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</si>
  <si>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</si>
  <si>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</si>
  <si>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</si>
  <si>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</si>
  <si>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</si>
  <si>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</si>
  <si>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</si>
  <si>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</si>
  <si>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</si>
  <si>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</si>
  <si>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</si>
  <si>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</si>
  <si>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</si>
  <si>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</si>
  <si>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</si>
  <si>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</si>
  <si>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</si>
  <si>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</si>
  <si>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</si>
  <si>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</si>
  <si>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</si>
  <si>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</si>
  <si>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</si>
  <si>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</si>
  <si>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</si>
  <si>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</si>
  <si>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</si>
  <si>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</si>
  <si>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</si>
  <si>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</si>
  <si>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</si>
  <si>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</si>
  <si>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</si>
  <si>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</si>
  <si>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</si>
  <si>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</si>
  <si>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</si>
  <si>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</si>
  <si>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</si>
  <si>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</si>
  <si>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</si>
  <si>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</si>
  <si>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</si>
  <si>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</si>
  <si>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</si>
  <si>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</si>
  <si>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</si>
  <si>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</si>
  <si>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</si>
  <si>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</si>
  <si>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</si>
  <si>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</si>
  <si>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</si>
  <si>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</si>
  <si>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</si>
  <si>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</si>
  <si>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</si>
  <si>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</si>
  <si>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</si>
  <si>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</si>
  <si>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</si>
  <si>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</si>
  <si>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</si>
  <si>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</si>
  <si>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</si>
  <si>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</si>
  <si>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</si>
  <si>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</si>
  <si>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</si>
  <si>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</si>
  <si>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</si>
  <si>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</si>
  <si>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</si>
  <si>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</si>
  <si>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</si>
  <si>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</si>
  <si>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</si>
  <si>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</si>
  <si>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</si>
  <si>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</si>
  <si>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</si>
  <si>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</si>
  <si>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</si>
  <si>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</si>
  <si>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</si>
  <si>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</si>
  <si>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</si>
  <si>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</si>
  <si>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</si>
  <si>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</si>
  <si>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</si>
  <si>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</si>
  <si>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</si>
  <si>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</si>
  <si>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</si>
  <si>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</si>
  <si>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</si>
  <si>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</si>
  <si>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</si>
  <si>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</si>
  <si>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</si>
  <si>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</si>
  <si>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</si>
  <si>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</si>
  <si>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</si>
  <si>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</si>
  <si>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</si>
  <si>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</si>
  <si>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</si>
  <si>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</si>
  <si>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</si>
  <si>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</si>
  <si>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</si>
  <si>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</si>
  <si>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</si>
  <si>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</si>
  <si>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</si>
  <si>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</si>
  <si>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</si>
  <si>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</si>
  <si>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</si>
  <si>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</si>
  <si>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</si>
  <si>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</si>
  <si>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</si>
  <si>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</si>
  <si>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</si>
  <si>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</si>
  <si>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</si>
  <si>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</si>
  <si>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</si>
  <si>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</si>
  <si>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</si>
  <si>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</si>
  <si>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</si>
  <si>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</si>
  <si>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</si>
  <si>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</si>
  <si>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</si>
  <si>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</si>
  <si>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</si>
  <si>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</si>
  <si>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</si>
  <si>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</si>
  <si>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</si>
  <si>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</si>
  <si>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</si>
  <si>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</si>
  <si>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</si>
  <si>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</si>
  <si>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</si>
  <si>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</si>
  <si>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</si>
  <si>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</si>
  <si>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</si>
  <si>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</si>
  <si>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</si>
  <si>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</si>
  <si>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</si>
  <si>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</si>
  <si>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</si>
  <si>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</si>
  <si>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</si>
  <si>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</si>
  <si>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</si>
  <si>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</si>
  <si>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</si>
  <si>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</si>
  <si>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</si>
  <si>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</si>
  <si>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</si>
  <si>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</si>
  <si>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</si>
  <si>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</si>
  <si>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</si>
  <si>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</si>
  <si>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</si>
  <si>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</si>
  <si>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</si>
  <si>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</si>
  <si>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</si>
  <si>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</si>
  <si>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</si>
  <si>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</si>
  <si>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</si>
  <si>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</si>
  <si>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</si>
  <si>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</si>
  <si>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</si>
  <si>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</si>
  <si>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</si>
  <si>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</si>
  <si>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</si>
  <si>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</si>
  <si>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</si>
  <si>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</si>
  <si>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</si>
  <si>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</si>
  <si>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</si>
  <si>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</si>
  <si>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</si>
  <si>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</si>
  <si>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</si>
  <si>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</si>
  <si>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</si>
  <si>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</si>
  <si>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</si>
  <si>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</si>
  <si>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</si>
  <si>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</si>
  <si>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</si>
  <si>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</si>
  <si>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</si>
  <si>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</si>
  <si>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</si>
  <si>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</si>
  <si>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</si>
  <si>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</si>
  <si>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</si>
  <si>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</si>
  <si>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</si>
  <si>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</si>
  <si>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</si>
  <si>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</si>
  <si>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</si>
  <si>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</si>
  <si>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</si>
  <si>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</si>
  <si>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</si>
  <si>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</si>
  <si>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</si>
  <si>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</si>
  <si>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</si>
  <si>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</si>
  <si>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</si>
  <si>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</si>
  <si>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</si>
  <si>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</si>
  <si>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</si>
  <si>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</si>
  <si>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</si>
  <si>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</si>
  <si>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</si>
  <si>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</si>
  <si>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</si>
  <si>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</si>
  <si>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</si>
  <si>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</si>
  <si>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</si>
  <si>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</si>
  <si>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</si>
  <si>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</si>
  <si>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</si>
  <si>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</si>
  <si>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</si>
  <si>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</si>
  <si>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</si>
  <si>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</si>
  <si>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</si>
  <si>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</si>
  <si>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</si>
  <si>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</si>
  <si>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</si>
  <si>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</si>
  <si>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</si>
  <si>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</si>
  <si>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</si>
  <si>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</si>
  <si>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</si>
  <si>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</si>
  <si>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</si>
  <si>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</si>
  <si>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</si>
  <si>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</si>
  <si>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</si>
  <si>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</si>
  <si>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</si>
  <si>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</si>
  <si>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</si>
  <si>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</si>
  <si>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</si>
  <si>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</si>
  <si>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</si>
  <si>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</si>
  <si>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</si>
  <si>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</si>
  <si>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</si>
  <si>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</si>
  <si>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</si>
  <si>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</si>
  <si>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</si>
  <si>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</si>
  <si>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</si>
  <si>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</si>
  <si>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</si>
  <si>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</si>
  <si>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</si>
  <si>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</si>
  <si>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</si>
  <si>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</si>
  <si>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</si>
  <si>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</si>
  <si>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</si>
  <si>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</si>
  <si>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</si>
  <si>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</si>
  <si>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</si>
  <si>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</si>
  <si>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</si>
  <si>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</si>
  <si>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</si>
  <si>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</si>
  <si>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</si>
  <si>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</si>
  <si>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</si>
  <si>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</si>
  <si>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</si>
  <si>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</si>
  <si>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</si>
  <si>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</si>
  <si>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</si>
  <si>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</si>
  <si>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</si>
  <si>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</si>
  <si>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</si>
  <si>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</si>
  <si>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</si>
  <si>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</si>
  <si>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</si>
  <si>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</si>
  <si>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</si>
  <si>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</si>
  <si>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</si>
  <si>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</si>
  <si>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</si>
  <si>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</si>
  <si>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</si>
  <si>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</si>
  <si>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</si>
  <si>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</si>
  <si>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</si>
  <si>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</si>
  <si>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</si>
  <si>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</si>
  <si>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</si>
  <si>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</si>
  <si>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</si>
  <si>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</si>
  <si>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</si>
  <si>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</si>
  <si>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</si>
  <si>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</si>
  <si>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</si>
  <si>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</si>
  <si>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</si>
  <si>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</si>
  <si>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</si>
  <si>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</si>
  <si>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</si>
  <si>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</si>
  <si>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</si>
  <si>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</si>
  <si>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</si>
  <si>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</si>
  <si>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</si>
  <si>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</si>
  <si>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</si>
  <si>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</si>
  <si>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</si>
  <si>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</si>
  <si>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</si>
  <si>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</si>
  <si>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</si>
  <si>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</si>
  <si>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</si>
  <si>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</si>
  <si>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</si>
  <si>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</si>
  <si>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</si>
  <si>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</si>
  <si>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</si>
  <si>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</si>
  <si>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</si>
  <si>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</si>
  <si>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</si>
  <si>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</si>
  <si>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</si>
  <si>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</si>
  <si>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</si>
  <si>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</si>
  <si>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</si>
  <si>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</si>
  <si>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</si>
  <si>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</si>
  <si>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</si>
  <si>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</si>
  <si>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</si>
  <si>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</si>
  <si>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</si>
  <si>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</si>
  <si>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</si>
  <si>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</si>
  <si>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</si>
  <si>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</si>
  <si>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</si>
  <si>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</si>
  <si>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</si>
  <si>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</si>
  <si>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</si>
  <si>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</si>
  <si>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</si>
  <si>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</si>
  <si>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</si>
  <si>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</si>
  <si>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</si>
  <si>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</si>
  <si>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</si>
  <si>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</si>
  <si>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</si>
  <si>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</si>
  <si>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</si>
  <si>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</si>
  <si>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</si>
  <si>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</si>
  <si>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</si>
  <si>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</si>
  <si>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</si>
  <si>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</si>
  <si>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</si>
  <si>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</si>
  <si>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</si>
  <si>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</si>
  <si>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</si>
  <si>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</si>
  <si>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</si>
  <si>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</si>
  <si>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</si>
  <si>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</si>
  <si>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</si>
  <si>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</si>
  <si>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</si>
  <si>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</si>
  <si>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</si>
  <si>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</si>
  <si>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</si>
  <si>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</si>
  <si>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</si>
  <si>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</si>
  <si>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</si>
  <si>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</si>
  <si>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</si>
  <si>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</si>
  <si>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</si>
  <si>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</si>
  <si>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</si>
  <si>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</si>
  <si>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</si>
  <si>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</si>
  <si>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</si>
  <si>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</si>
  <si>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</si>
  <si>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</si>
  <si>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</si>
  <si>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</si>
  <si>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</si>
  <si>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</si>
  <si>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</si>
  <si>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</si>
  <si>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</si>
  <si>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</si>
  <si>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</si>
  <si>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</si>
  <si>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</si>
  <si>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</si>
  <si>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</si>
  <si>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</si>
  <si>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</si>
  <si>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</si>
  <si>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</si>
  <si>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</si>
  <si>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</si>
  <si>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</si>
  <si>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</si>
  <si>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</si>
  <si>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</si>
  <si>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</si>
  <si>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</si>
  <si>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</si>
  <si>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</si>
  <si>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</si>
  <si>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</si>
  <si>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</si>
  <si>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</si>
  <si>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</si>
  <si>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</si>
  <si>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</si>
  <si>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</si>
  <si>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</si>
  <si>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</si>
  <si>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</si>
  <si>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</si>
  <si>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</si>
  <si>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</si>
  <si>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</si>
  <si>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</si>
  <si>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</si>
  <si>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</si>
  <si>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</si>
  <si>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</si>
  <si>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</si>
  <si>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</si>
  <si>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</si>
  <si>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</si>
  <si>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</si>
  <si>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</si>
  <si>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</si>
  <si>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</si>
  <si>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</si>
  <si>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</si>
  <si>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</si>
  <si>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</si>
  <si>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</si>
  <si>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</si>
  <si>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</si>
  <si>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</si>
  <si>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</si>
  <si>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</si>
  <si>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</si>
  <si>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</si>
  <si>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</si>
  <si>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</si>
  <si>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</si>
  <si>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</si>
  <si>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</si>
  <si>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</si>
  <si>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</si>
  <si>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</si>
  <si>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</si>
  <si>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</si>
  <si>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</si>
  <si>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</si>
  <si>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</si>
  <si>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</si>
  <si>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</si>
  <si>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</si>
  <si>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</si>
  <si>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</si>
  <si>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</si>
  <si>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</si>
  <si>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</si>
  <si>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</si>
  <si>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</si>
  <si>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</si>
  <si>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</si>
  <si>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</si>
  <si>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</si>
  <si>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</si>
  <si>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</si>
  <si>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</si>
  <si>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</si>
  <si>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</si>
  <si>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</si>
  <si>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</si>
  <si>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</si>
  <si>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</si>
  <si>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</si>
  <si>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</si>
  <si>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</si>
  <si>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</si>
  <si>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</si>
  <si>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</si>
  <si>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</si>
  <si>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</si>
  <si>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</si>
  <si>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</si>
  <si>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</si>
  <si>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</si>
  <si>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</si>
  <si>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</si>
  <si>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</si>
  <si>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</si>
  <si>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</si>
  <si>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</si>
  <si>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</si>
  <si>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</si>
  <si>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</si>
  <si>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</si>
  <si>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</si>
  <si>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</si>
  <si>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</si>
  <si>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</si>
  <si>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</si>
  <si>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</si>
  <si>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</si>
  <si>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</si>
  <si>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</si>
  <si>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</si>
  <si>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</si>
  <si>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</si>
  <si>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</si>
  <si>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</si>
  <si>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</si>
  <si>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</si>
  <si>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</si>
  <si>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</si>
  <si>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</si>
  <si>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</si>
  <si>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</si>
  <si>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</si>
  <si>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</si>
  <si>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</si>
  <si>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</si>
  <si>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</si>
  <si>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</si>
  <si>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</si>
  <si>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</si>
  <si>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</si>
  <si>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</si>
  <si>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</si>
  <si>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</si>
  <si>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</si>
  <si>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</si>
  <si>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</si>
  <si>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</si>
  <si>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</si>
  <si>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</si>
  <si>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</si>
  <si>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</si>
  <si>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</si>
  <si>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</si>
  <si>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</si>
  <si>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</si>
  <si>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</si>
  <si>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</si>
  <si>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</si>
  <si>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</si>
  <si>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</si>
  <si>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</si>
  <si>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</si>
  <si>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</si>
  <si>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</si>
  <si>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</si>
  <si>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</si>
  <si>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</si>
  <si>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</si>
  <si>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</si>
  <si>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</si>
  <si>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</si>
  <si>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</si>
  <si>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</si>
  <si>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</si>
  <si>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</si>
  <si>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</si>
  <si>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</si>
  <si>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</si>
  <si>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</si>
  <si>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</si>
  <si>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</si>
  <si>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</si>
  <si>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</si>
  <si>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</si>
  <si>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</si>
  <si>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</si>
  <si>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</si>
  <si>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</si>
  <si>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</si>
  <si>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</si>
  <si>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</si>
  <si>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</si>
  <si>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</si>
  <si>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</si>
  <si>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</si>
  <si>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</si>
  <si>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</si>
  <si>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</si>
  <si>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</si>
  <si>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</si>
  <si>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</si>
  <si>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</si>
  <si>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</si>
  <si>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</si>
  <si>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</si>
  <si>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</si>
  <si>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</si>
  <si>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</si>
  <si>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</si>
  <si>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</si>
  <si>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</si>
  <si>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</si>
  <si>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</si>
  <si>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</si>
  <si>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</si>
  <si>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</si>
  <si>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</si>
  <si>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</si>
  <si>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</si>
  <si>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</si>
  <si>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</si>
  <si>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</si>
  <si>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</si>
  <si>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</si>
  <si>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</si>
  <si>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</si>
  <si>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</si>
  <si>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</si>
  <si>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</si>
  <si>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</si>
  <si>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</si>
  <si>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</si>
  <si>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</si>
  <si>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</si>
  <si>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</si>
  <si>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</si>
  <si>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</si>
  <si>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</si>
  <si>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</si>
  <si>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</si>
  <si>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</si>
  <si>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</si>
  <si>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</si>
  <si>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</si>
  <si>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</si>
  <si>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</si>
  <si>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</si>
  <si>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</si>
  <si>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</si>
  <si>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</si>
  <si>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</si>
  <si>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</si>
  <si>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</si>
  <si>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</si>
  <si>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</si>
  <si>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</si>
  <si>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</si>
  <si>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</si>
  <si>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</si>
  <si>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</si>
  <si>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</si>
  <si>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</si>
  <si>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</si>
  <si>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</si>
  <si>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</si>
  <si>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</si>
  <si>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</si>
  <si>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</si>
  <si>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</si>
  <si>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</si>
  <si>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</si>
  <si>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</si>
  <si>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</si>
  <si>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</si>
  <si>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</si>
  <si>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</si>
  <si>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</si>
  <si>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</si>
  <si>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</si>
  <si>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</si>
  <si>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</si>
  <si>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</si>
  <si>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</si>
  <si>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</si>
  <si>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</si>
  <si>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</si>
  <si>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</si>
  <si>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</si>
  <si>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</si>
  <si>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</si>
  <si>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</si>
  <si>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</si>
  <si>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</si>
  <si>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</si>
  <si>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</si>
  <si>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</si>
  <si>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</si>
  <si>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</si>
  <si>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</si>
  <si>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</si>
  <si>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</si>
  <si>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</si>
  <si>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</si>
  <si>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</si>
  <si>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</si>
  <si>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</si>
  <si>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</si>
  <si>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</si>
  <si>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</si>
  <si>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</si>
  <si>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</si>
  <si>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</si>
  <si>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</si>
  <si>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</si>
  <si>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</si>
  <si>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</si>
  <si>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</si>
  <si>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</si>
  <si>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</si>
  <si>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</si>
  <si>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</si>
  <si>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</si>
  <si>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</si>
  <si>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</si>
  <si>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</si>
  <si>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</si>
  <si>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</si>
  <si>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</si>
  <si>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</si>
  <si>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</si>
  <si>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</si>
  <si>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</si>
  <si>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</si>
  <si>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</si>
  <si>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</si>
  <si>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</si>
  <si>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</si>
  <si>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</si>
  <si>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</si>
  <si>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</si>
  <si>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</si>
  <si>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</si>
  <si>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</si>
  <si>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</si>
  <si>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</si>
  <si>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</si>
  <si>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</si>
  <si>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</si>
  <si>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</si>
  <si>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</si>
  <si>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</si>
  <si>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</si>
  <si>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</si>
  <si>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</si>
  <si>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</si>
  <si>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</si>
  <si>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</si>
  <si>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</si>
  <si>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</si>
  <si>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</si>
  <si>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</si>
  <si>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</si>
  <si>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</si>
  <si>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</si>
  <si>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</si>
  <si>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</si>
  <si>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</si>
  <si>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</si>
  <si>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</si>
  <si>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</si>
  <si>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</si>
  <si>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</si>
  <si>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</si>
  <si>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</si>
  <si>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</si>
  <si>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</si>
  <si>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</si>
  <si>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</si>
  <si>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</si>
  <si>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</si>
  <si>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</si>
  <si>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</si>
  <si>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</si>
  <si>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</si>
  <si>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</si>
  <si>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</si>
  <si>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</si>
  <si>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</si>
  <si>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</si>
  <si>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</si>
  <si>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</si>
  <si>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</si>
  <si>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</si>
  <si>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</si>
  <si>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</si>
  <si>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</si>
  <si>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</si>
  <si>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</si>
  <si>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</si>
  <si>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</si>
  <si>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</si>
  <si>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</si>
  <si>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</si>
  <si>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</si>
  <si>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</si>
  <si>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</si>
  <si>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</si>
  <si>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</si>
  <si>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</si>
  <si>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</si>
  <si>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</si>
  <si>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</si>
  <si>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</si>
  <si>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</si>
  <si>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</si>
  <si>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</si>
  <si>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</si>
  <si>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</si>
  <si>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</si>
  <si>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</si>
  <si>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</si>
  <si>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</si>
  <si>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</si>
  <si>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</si>
  <si>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</si>
  <si>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</si>
  <si>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</si>
  <si>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</si>
  <si>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</si>
  <si>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</si>
  <si>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</si>
  <si>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</si>
  <si>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</si>
  <si>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</si>
  <si>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</si>
  <si>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</si>
  <si>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</si>
  <si>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</si>
  <si>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</si>
  <si>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</si>
  <si>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</si>
  <si>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</si>
  <si>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</si>
  <si>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</si>
  <si>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</si>
  <si>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</si>
  <si>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</si>
  <si>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</si>
  <si>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</si>
  <si>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</si>
  <si>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</si>
  <si>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</si>
  <si>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</si>
  <si>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</si>
  <si>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</si>
  <si>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</si>
  <si>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</si>
  <si>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</si>
  <si>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</si>
  <si>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</si>
  <si>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</si>
  <si>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</si>
  <si>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</si>
  <si>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</si>
  <si>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</si>
  <si>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</si>
  <si>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</si>
  <si>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</si>
  <si>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</si>
  <si>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</si>
  <si>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</si>
  <si>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</si>
  <si>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</si>
  <si>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</si>
  <si>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</si>
  <si>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</si>
  <si>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</si>
  <si>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</si>
  <si>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</si>
  <si>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</si>
  <si>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</si>
  <si>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</si>
  <si>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</si>
  <si>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</si>
  <si>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</si>
  <si>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</si>
  <si>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</si>
  <si>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</si>
  <si>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</si>
  <si>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</si>
  <si>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</si>
  <si>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</si>
  <si>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</si>
  <si>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</si>
  <si>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</si>
  <si>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</si>
  <si>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</si>
  <si>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</si>
  <si>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</si>
  <si>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</si>
  <si>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</si>
  <si>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</si>
  <si>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</si>
  <si>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</si>
  <si>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</si>
  <si>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</si>
  <si>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</si>
  <si>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</si>
  <si>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</si>
  <si>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</si>
  <si>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</si>
  <si>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</si>
  <si>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</si>
  <si>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</si>
  <si>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</si>
  <si>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</si>
  <si>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</si>
  <si>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</si>
  <si>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</si>
  <si>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</si>
  <si>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</si>
  <si>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</si>
  <si>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</si>
  <si>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</si>
  <si>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</si>
  <si>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</si>
  <si>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</si>
  <si>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</si>
  <si>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</si>
  <si>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</si>
  <si>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</si>
  <si>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</si>
  <si>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</si>
  <si>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</si>
  <si>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</si>
  <si>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</si>
  <si>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</si>
  <si>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</si>
  <si>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</si>
  <si>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</si>
  <si>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</si>
  <si>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</si>
  <si>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</si>
  <si>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</si>
  <si>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</si>
  <si>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</si>
  <si>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</si>
  <si>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</si>
  <si>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</si>
  <si>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</si>
  <si>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</si>
  <si>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</si>
  <si>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</si>
  <si>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</si>
  <si>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</si>
  <si>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</si>
  <si>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</si>
  <si>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</si>
  <si>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</si>
  <si>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</si>
  <si>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</si>
  <si>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</si>
  <si>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</si>
  <si>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</si>
  <si>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</si>
  <si>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</si>
  <si>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</si>
  <si>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</si>
  <si>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</si>
  <si>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</si>
  <si>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</si>
  <si>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</si>
  <si>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</si>
  <si>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</si>
  <si>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</si>
  <si>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</si>
  <si>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</si>
  <si>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</si>
  <si>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</si>
  <si>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</si>
  <si>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</si>
  <si>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</si>
  <si>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</si>
  <si>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</si>
  <si>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</si>
  <si>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</si>
  <si>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</si>
  <si>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</si>
  <si>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</si>
  <si>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</si>
  <si>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</si>
  <si>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</si>
  <si>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</si>
  <si>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</si>
  <si>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</si>
  <si>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</si>
  <si>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</si>
  <si>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</si>
  <si>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</si>
  <si>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</si>
  <si>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</si>
  <si>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</si>
  <si>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</si>
  <si>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</si>
  <si>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</si>
  <si>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</si>
  <si>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</si>
  <si>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</si>
  <si>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</si>
  <si>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</si>
  <si>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</si>
  <si>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</si>
  <si>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</si>
  <si>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</si>
  <si>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</si>
  <si>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</si>
  <si>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</si>
  <si>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</si>
  <si>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</si>
  <si>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</si>
  <si>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</si>
  <si>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</si>
  <si>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</si>
  <si>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</si>
  <si>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</si>
  <si>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</si>
  <si>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</si>
  <si>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</si>
  <si>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</si>
  <si>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</si>
  <si>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</si>
  <si>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</si>
  <si>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</si>
  <si>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</si>
  <si>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</si>
  <si>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</si>
  <si>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</si>
  <si>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</si>
  <si>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</si>
  <si>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</si>
  <si>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</si>
  <si>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</si>
  <si>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</si>
  <si>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</si>
  <si>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</si>
  <si>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</si>
  <si>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</si>
  <si>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</si>
  <si>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</si>
  <si>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</si>
  <si>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</si>
  <si>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</si>
  <si>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</si>
  <si>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</si>
  <si>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</si>
  <si>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</si>
  <si>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</si>
  <si>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</si>
  <si>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</si>
  <si>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</si>
  <si>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</si>
  <si>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</si>
  <si>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</si>
  <si>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</si>
  <si>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</si>
  <si>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</si>
  <si>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</si>
  <si>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</si>
  <si>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</si>
  <si>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</si>
  <si>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</si>
  <si>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</si>
  <si>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</si>
  <si>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</si>
  <si>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</si>
  <si>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</si>
  <si>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</si>
  <si>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</si>
  <si>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</si>
  <si>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</si>
  <si>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</si>
  <si>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</si>
  <si>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</si>
  <si>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</si>
  <si>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</si>
  <si>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</si>
  <si>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</si>
  <si>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</si>
  <si>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</si>
  <si>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</si>
  <si>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</si>
  <si>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</si>
  <si>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</si>
  <si>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</si>
  <si>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</si>
  <si>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</si>
  <si>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</si>
  <si>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</si>
  <si>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</si>
  <si>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</si>
  <si>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</si>
  <si>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</si>
  <si>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</si>
  <si>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</si>
  <si>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</si>
  <si>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</si>
  <si>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</si>
  <si>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</si>
  <si>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</si>
  <si>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</si>
  <si>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</si>
  <si>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</si>
  <si>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</si>
  <si>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</si>
  <si>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</si>
  <si>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</si>
  <si>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</si>
  <si>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</si>
  <si>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</si>
  <si>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</si>
  <si>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</si>
  <si>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</si>
  <si>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</si>
  <si>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</si>
  <si>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</si>
  <si>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</si>
  <si>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</si>
  <si>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</si>
  <si>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</si>
  <si>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</si>
  <si>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</si>
  <si>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</si>
  <si>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</si>
  <si>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</si>
  <si>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</si>
  <si>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</si>
  <si>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</si>
  <si>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</si>
  <si>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</si>
  <si>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</si>
  <si>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</si>
  <si>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</si>
  <si>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</si>
  <si>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</si>
  <si>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</si>
  <si>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</si>
  <si>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</si>
  <si>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</si>
  <si>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</si>
  <si>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</si>
  <si>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</si>
  <si>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</si>
  <si>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</si>
  <si>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</si>
  <si>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</si>
  <si>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</si>
  <si>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</si>
  <si>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</si>
  <si>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</si>
  <si>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</si>
  <si>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</si>
  <si>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</si>
  <si>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</si>
  <si>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</si>
  <si>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</si>
  <si>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</si>
  <si>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</si>
  <si>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</si>
  <si>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</si>
  <si>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</si>
  <si>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</si>
  <si>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</si>
  <si>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</si>
  <si>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</si>
  <si>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</si>
  <si>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</si>
  <si>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</si>
  <si>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</si>
  <si>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</si>
  <si>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</si>
  <si>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</si>
  <si>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</si>
  <si>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</si>
  <si>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</si>
  <si>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</si>
  <si>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</si>
  <si>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</si>
  <si>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</si>
  <si>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</si>
  <si>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</si>
  <si>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</si>
  <si>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</si>
  <si>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</si>
  <si>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</si>
  <si>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</si>
  <si>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</si>
  <si>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</si>
  <si>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</si>
  <si>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</si>
  <si>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</si>
  <si>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</si>
  <si>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</si>
  <si>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</si>
  <si>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</si>
  <si>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</si>
  <si>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</si>
  <si>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</si>
  <si>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</si>
  <si>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</si>
  <si>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</si>
  <si>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</si>
  <si>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</si>
  <si>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</si>
  <si>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</si>
  <si>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</si>
  <si>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</si>
  <si>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</si>
  <si>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</si>
  <si>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</si>
  <si>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</si>
  <si>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</si>
  <si>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</si>
  <si>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</si>
  <si>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</si>
  <si>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</si>
  <si>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</si>
  <si>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</si>
  <si>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</si>
  <si>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</si>
  <si>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</si>
  <si>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</si>
  <si>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</si>
  <si>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</si>
  <si>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</si>
  <si>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</si>
  <si>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</si>
  <si>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</si>
  <si>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</si>
  <si>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</si>
  <si>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</si>
  <si>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</si>
  <si>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</si>
  <si>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</si>
  <si>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</si>
  <si>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</si>
  <si>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</si>
  <si>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</si>
  <si>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</si>
  <si>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</si>
  <si>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</si>
  <si>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</si>
  <si>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</si>
  <si>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</si>
  <si>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</si>
  <si>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</si>
  <si>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</si>
  <si>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</si>
  <si>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</si>
  <si>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</si>
  <si>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</si>
  <si>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</si>
  <si>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</si>
  <si>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</si>
  <si>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</si>
  <si>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</si>
  <si>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</si>
  <si>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</si>
  <si>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</si>
  <si>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</si>
  <si>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</si>
  <si>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</si>
  <si>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</si>
  <si>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</si>
  <si>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</si>
  <si>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</si>
  <si>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</si>
  <si>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</si>
  <si>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</si>
  <si>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</si>
  <si>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</si>
  <si>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</si>
  <si>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</si>
  <si>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</si>
  <si>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</si>
  <si>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</si>
  <si>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</si>
  <si>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</si>
  <si>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</si>
  <si>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</si>
  <si>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</si>
  <si>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</si>
  <si>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</si>
  <si>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</si>
  <si>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</si>
  <si>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</si>
  <si>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</si>
  <si>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</si>
  <si>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</si>
  <si>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</si>
  <si>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</si>
  <si>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</si>
  <si>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</si>
  <si>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</si>
  <si>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</si>
  <si>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</si>
  <si>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</si>
  <si>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</si>
  <si>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</si>
  <si>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</si>
  <si>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</si>
  <si>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</si>
  <si>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</si>
  <si>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</si>
  <si>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</si>
  <si>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</si>
  <si>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</si>
  <si>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</si>
  <si>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</si>
  <si>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</si>
  <si>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</si>
  <si>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</si>
  <si>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</si>
  <si>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</si>
  <si>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</si>
  <si>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</si>
  <si>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</si>
  <si>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</si>
  <si>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</si>
  <si>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</si>
  <si>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</si>
  <si>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</si>
  <si>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</si>
  <si>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</si>
  <si>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</si>
  <si>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</si>
  <si>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</si>
  <si>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</si>
  <si>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</si>
  <si>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</si>
  <si>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</si>
  <si>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</si>
  <si>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</si>
  <si>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</si>
  <si>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</si>
  <si>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</si>
  <si>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</si>
  <si>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</si>
  <si>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</si>
  <si>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</si>
  <si>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</si>
  <si>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</si>
  <si>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</si>
  <si>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</si>
  <si>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</si>
  <si>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</si>
  <si>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</si>
  <si>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</si>
  <si>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</si>
  <si>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</si>
  <si>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</si>
  <si>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</si>
  <si>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</si>
  <si>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</si>
  <si>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</si>
  <si>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</si>
  <si>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</si>
  <si>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</si>
  <si>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</si>
  <si>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</si>
  <si>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</si>
  <si>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</si>
  <si>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</si>
  <si>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</si>
  <si>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</si>
  <si>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</si>
  <si>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</si>
  <si>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</si>
  <si>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</si>
  <si>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</si>
  <si>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</si>
  <si>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</si>
  <si>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</si>
  <si>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</si>
  <si>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</si>
  <si>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</si>
  <si>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</si>
  <si>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</si>
  <si>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</si>
  <si>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</si>
  <si>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</si>
  <si>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</si>
  <si>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</si>
  <si>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</si>
  <si>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</si>
  <si>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</si>
  <si>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</si>
  <si>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</si>
  <si>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</si>
  <si>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</si>
  <si>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</si>
  <si>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</si>
  <si>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</si>
  <si>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</si>
  <si>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</si>
  <si>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</si>
  <si>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</si>
  <si>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</si>
  <si>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</si>
  <si>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</si>
  <si>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</si>
  <si>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</si>
  <si>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</si>
  <si>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</si>
  <si>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</si>
  <si>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</si>
  <si>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</si>
  <si>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</si>
  <si>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</si>
  <si>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</si>
  <si>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</si>
  <si>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</si>
  <si>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</si>
  <si>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</si>
  <si>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</si>
  <si>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</si>
  <si>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</si>
  <si>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</si>
  <si>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</si>
  <si>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</si>
  <si>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</si>
  <si>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</si>
  <si>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</si>
  <si>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</si>
  <si>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</si>
  <si>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</si>
  <si>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</si>
  <si>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</si>
  <si>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</si>
  <si>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</si>
  <si>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</si>
  <si>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</si>
  <si>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</si>
  <si>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</si>
  <si>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</si>
  <si>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</si>
  <si>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</si>
  <si>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</si>
  <si>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</si>
  <si>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</si>
  <si>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</si>
  <si>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</si>
  <si>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</si>
  <si>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</si>
  <si>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</si>
  <si>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</si>
  <si>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</si>
  <si>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</si>
  <si>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</si>
  <si>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</si>
  <si>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</si>
  <si>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</si>
  <si>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</si>
  <si>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</si>
  <si>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</si>
  <si>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</si>
  <si>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</si>
  <si>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</si>
  <si>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</si>
  <si>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</si>
  <si>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</si>
  <si>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</si>
  <si>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</si>
  <si>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</si>
  <si>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</si>
  <si>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</si>
  <si>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</si>
  <si>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</si>
  <si>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</si>
  <si>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</si>
  <si>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</si>
  <si>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</si>
  <si>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</si>
  <si>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</si>
  <si>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</si>
  <si>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</si>
  <si>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</si>
  <si>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</si>
  <si>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</si>
  <si>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</si>
  <si>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</si>
  <si>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</si>
  <si>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</si>
  <si>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</si>
  <si>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</si>
  <si>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</si>
  <si>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</si>
  <si>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</si>
  <si>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</si>
  <si>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</si>
  <si>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</si>
  <si>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</si>
  <si>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</si>
  <si>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</si>
  <si>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</si>
  <si>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</si>
  <si>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</si>
  <si>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</si>
  <si>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</si>
  <si>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</si>
  <si>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</si>
  <si>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</si>
  <si>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</si>
  <si>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</si>
  <si>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</si>
  <si>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</si>
  <si>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</si>
  <si>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</si>
  <si>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</si>
  <si>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</si>
  <si>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</si>
  <si>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</si>
  <si>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</si>
  <si>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</si>
  <si>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</si>
  <si>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</si>
  <si>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</si>
  <si>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</si>
  <si>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</si>
  <si>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</si>
  <si>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</si>
  <si>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</si>
  <si>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</si>
  <si>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</si>
  <si>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</si>
  <si>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</si>
  <si>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</si>
  <si>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</si>
  <si>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</si>
  <si>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</si>
  <si>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</si>
  <si>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</si>
  <si>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</si>
  <si>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</si>
  <si>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</si>
  <si>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</si>
  <si>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</si>
  <si>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</si>
  <si>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</si>
  <si>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</si>
  <si>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</si>
  <si>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</si>
  <si>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</si>
  <si>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</si>
  <si>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</si>
  <si>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</si>
  <si>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</si>
  <si>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</si>
  <si>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</si>
  <si>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</si>
  <si>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</si>
  <si>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</si>
  <si>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</si>
  <si>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</si>
  <si>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</si>
  <si>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</si>
  <si>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</si>
  <si>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</si>
  <si>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</si>
  <si>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</si>
  <si>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</si>
  <si>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</si>
  <si>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</si>
  <si>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</si>
  <si>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</si>
  <si>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</si>
  <si>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</si>
  <si>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</si>
  <si>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</si>
  <si>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</si>
  <si>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</si>
  <si>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</si>
  <si>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</si>
  <si>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</si>
  <si>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</si>
  <si>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</si>
  <si>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</si>
  <si>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</si>
  <si>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</si>
  <si>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</si>
  <si>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</si>
  <si>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</si>
  <si>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</si>
  <si>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</si>
  <si>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</si>
  <si>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</si>
  <si>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</si>
  <si>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</si>
  <si>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</si>
  <si>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</si>
  <si>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</si>
  <si>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</si>
  <si>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</si>
  <si>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</si>
  <si>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</si>
  <si>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</si>
  <si>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</si>
  <si>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</si>
  <si>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</si>
  <si>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</si>
  <si>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</si>
  <si>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</si>
  <si>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</si>
  <si>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</si>
  <si>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</si>
  <si>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</si>
  <si>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</si>
  <si>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</si>
  <si>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</si>
  <si>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</si>
  <si>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</si>
  <si>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</si>
  <si>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</si>
  <si>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</si>
  <si>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</si>
  <si>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</si>
  <si>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</si>
  <si>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</si>
  <si>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</si>
  <si>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</si>
  <si>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</si>
  <si>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</si>
  <si>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</si>
  <si>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</si>
  <si>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</si>
  <si>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</si>
  <si>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</si>
  <si>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</si>
  <si>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</si>
  <si>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</si>
  <si>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</si>
  <si>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</si>
  <si>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</si>
  <si>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</si>
  <si>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</si>
  <si>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</si>
  <si>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</si>
  <si>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</si>
  <si>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</si>
  <si>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</si>
  <si>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</si>
  <si>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</si>
  <si>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</si>
  <si>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</si>
  <si>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</si>
  <si>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</si>
  <si>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</si>
  <si>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</si>
  <si>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</si>
  <si>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</si>
  <si>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</si>
  <si>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</si>
  <si>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</si>
  <si>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</si>
  <si>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</si>
  <si>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</si>
  <si>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</si>
  <si>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</si>
  <si>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</si>
  <si>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</si>
  <si>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</si>
  <si>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</si>
  <si>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</si>
  <si>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</si>
  <si>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</si>
  <si>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</si>
  <si>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</si>
  <si>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</si>
  <si>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</si>
  <si>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</si>
  <si>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</si>
  <si>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</si>
  <si>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</si>
  <si>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</si>
  <si>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</si>
  <si>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</si>
  <si>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</si>
  <si>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</si>
  <si>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</si>
  <si>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</si>
  <si>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</si>
  <si>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</si>
  <si>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</si>
  <si>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</si>
  <si>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</si>
  <si>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</si>
  <si>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</si>
  <si>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</si>
  <si>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</si>
  <si>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</si>
  <si>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</si>
  <si>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</si>
  <si>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</si>
  <si>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</si>
  <si>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</si>
  <si>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</si>
  <si>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</si>
  <si>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</si>
  <si>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</si>
  <si>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</si>
  <si>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</si>
  <si>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</si>
  <si>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</si>
  <si>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</si>
  <si>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</si>
  <si>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</si>
  <si>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</si>
  <si>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</si>
  <si>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</si>
  <si>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</si>
  <si>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</si>
  <si>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</si>
  <si>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</si>
  <si>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</si>
  <si>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</si>
  <si>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</si>
  <si>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</si>
  <si>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</si>
  <si>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</si>
  <si>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</si>
  <si>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</si>
  <si>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</si>
  <si>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</si>
  <si>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</si>
  <si>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</si>
  <si>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</si>
  <si>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</si>
  <si>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</si>
  <si>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</si>
  <si>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</si>
  <si>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</si>
  <si>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</si>
  <si>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</si>
  <si>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</si>
  <si>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</si>
  <si>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</si>
  <si>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</si>
  <si>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</si>
  <si>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</si>
  <si>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</si>
  <si>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</si>
  <si>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</si>
  <si>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</si>
  <si>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</si>
  <si>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</si>
  <si>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</si>
  <si>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</si>
  <si>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</si>
  <si>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</si>
  <si>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</si>
  <si>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</si>
  <si>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</si>
  <si>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</si>
  <si>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</si>
  <si>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</si>
  <si>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</si>
  <si>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</si>
  <si>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</si>
  <si>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</si>
  <si>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</si>
  <si>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</si>
  <si>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</si>
  <si>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</si>
  <si>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</si>
  <si>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</si>
  <si>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</si>
  <si>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</si>
  <si>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</si>
  <si>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</si>
  <si>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</si>
  <si>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</si>
  <si>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</si>
  <si>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</si>
  <si>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</si>
  <si>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</si>
  <si>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</si>
  <si>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</si>
  <si>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</si>
  <si>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</si>
  <si>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</si>
  <si>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</si>
  <si>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</si>
  <si>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</si>
  <si>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</si>
  <si>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</si>
  <si>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</si>
  <si>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</si>
  <si>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</si>
  <si>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</si>
  <si>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</si>
  <si>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</si>
  <si>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</si>
  <si>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</si>
  <si>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</si>
  <si>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</si>
  <si>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</si>
  <si>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</si>
  <si>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</si>
  <si>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</si>
  <si>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</si>
  <si>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</si>
  <si>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</si>
  <si>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</si>
  <si>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</si>
  <si>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</si>
  <si>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</si>
  <si>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</si>
  <si>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</si>
  <si>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</si>
  <si>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</si>
  <si>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</si>
  <si>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</si>
  <si>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</si>
  <si>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</si>
  <si>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</si>
  <si>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</si>
  <si>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</si>
  <si>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</si>
  <si>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</si>
  <si>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</si>
  <si>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</si>
  <si>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</si>
  <si>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</si>
  <si>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</si>
  <si>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</si>
  <si>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</si>
  <si>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</si>
  <si>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</si>
  <si>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</si>
  <si>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</si>
  <si>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</si>
  <si>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</si>
  <si>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</si>
  <si>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</si>
  <si>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</si>
  <si>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</si>
  <si>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</si>
  <si>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</si>
  <si>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</si>
  <si>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</si>
  <si>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</si>
  <si>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</si>
  <si>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</si>
  <si>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</si>
  <si>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</si>
  <si>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</si>
  <si>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</si>
  <si>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</si>
  <si>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</si>
  <si>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</si>
  <si>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</si>
  <si>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</si>
  <si>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</si>
  <si>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</si>
  <si>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</si>
  <si>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</si>
  <si>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</si>
  <si>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</si>
  <si>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</si>
  <si>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</si>
  <si>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</si>
  <si>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</si>
  <si>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</si>
  <si>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</si>
  <si>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</si>
  <si>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</si>
  <si>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</si>
  <si>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</si>
  <si>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</si>
  <si>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</si>
  <si>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</si>
  <si>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</si>
  <si>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</si>
  <si>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</si>
  <si>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</si>
  <si>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</si>
  <si>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</si>
  <si>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</si>
  <si>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</si>
  <si>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</si>
  <si>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</si>
  <si>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</si>
  <si>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</si>
  <si>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</si>
  <si>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</si>
  <si>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</si>
  <si>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</si>
  <si>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</si>
  <si>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</si>
  <si>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</si>
  <si>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</si>
  <si>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</si>
  <si>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</si>
  <si>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</si>
  <si>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</si>
  <si>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</si>
  <si>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</si>
  <si>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</si>
  <si>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</si>
  <si>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</si>
  <si>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</si>
  <si>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</si>
  <si>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</si>
  <si>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</si>
  <si>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</si>
  <si>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</si>
  <si>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</si>
  <si>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</si>
  <si>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</si>
  <si>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</si>
  <si>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</si>
  <si>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</si>
  <si>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</si>
  <si>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</si>
  <si>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</si>
  <si>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</si>
  <si>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</si>
  <si>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</si>
  <si>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</si>
  <si>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</si>
  <si>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</si>
  <si>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</si>
  <si>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</si>
  <si>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</si>
  <si>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</si>
  <si>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</si>
  <si>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</si>
  <si>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</si>
  <si>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</si>
  <si>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</si>
  <si>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</si>
  <si>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</si>
  <si>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</si>
  <si>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</si>
  <si>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</si>
  <si>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</si>
  <si>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</si>
  <si>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</si>
  <si>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</si>
  <si>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</si>
  <si>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</si>
  <si>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</si>
  <si>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</si>
  <si>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</si>
  <si>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</si>
  <si>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</si>
  <si>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</si>
  <si>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</si>
  <si>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</si>
  <si>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</si>
  <si>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</si>
  <si>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</si>
  <si>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</si>
  <si>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</si>
  <si>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</si>
  <si>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</si>
  <si>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</si>
  <si>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</si>
  <si>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</si>
  <si>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</si>
  <si>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</si>
  <si>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</si>
  <si>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</si>
  <si>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</si>
  <si>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</si>
  <si>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</si>
  <si>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</si>
  <si>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</si>
  <si>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</si>
  <si>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</si>
  <si>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</si>
  <si>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</si>
  <si>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</si>
  <si>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</si>
  <si>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</si>
  <si>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</si>
  <si>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</si>
  <si>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</si>
  <si>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</si>
  <si>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</si>
  <si>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</si>
  <si>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</si>
  <si>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</si>
  <si>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</si>
  <si>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</si>
  <si>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</si>
  <si>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</si>
  <si>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</si>
  <si>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</si>
  <si>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</si>
  <si>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</si>
  <si>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</si>
  <si>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</si>
  <si>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</si>
  <si>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</si>
  <si>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</si>
  <si>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</si>
  <si>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</si>
  <si>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</si>
  <si>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</si>
  <si>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</si>
  <si>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</si>
  <si>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</si>
  <si>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</si>
  <si>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</si>
  <si>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</si>
  <si>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</si>
  <si>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</si>
  <si>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</si>
  <si>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</si>
  <si>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</si>
  <si>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</si>
  <si>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</si>
  <si>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</si>
  <si>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</si>
  <si>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</si>
  <si>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</si>
  <si>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</si>
  <si>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</si>
  <si>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</si>
  <si>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</si>
  <si>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</si>
  <si>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</si>
  <si>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</si>
  <si>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</si>
  <si>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</si>
  <si>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</si>
  <si>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</si>
  <si>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</si>
  <si>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</si>
  <si>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</si>
  <si>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</si>
  <si>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</si>
  <si>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</si>
  <si>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</si>
  <si>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</si>
  <si>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</si>
  <si>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</si>
  <si>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</si>
  <si>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</si>
  <si>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</si>
  <si>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</si>
  <si>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</si>
  <si>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</si>
  <si>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</si>
  <si>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</si>
  <si>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</si>
  <si>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</si>
  <si>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</si>
  <si>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</si>
  <si>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</si>
  <si>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</si>
  <si>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</si>
  <si>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</si>
  <si>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</si>
  <si>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</si>
  <si>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</si>
  <si>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</si>
  <si>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</si>
  <si>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</si>
  <si>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</si>
  <si>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</si>
  <si>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</si>
  <si>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</si>
  <si>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</si>
  <si>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</si>
  <si>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</si>
  <si>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</si>
  <si>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</si>
  <si>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</si>
  <si>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</si>
  <si>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</si>
  <si>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</si>
  <si>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</si>
  <si>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</si>
  <si>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</si>
  <si>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</si>
  <si>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</si>
  <si>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</si>
  <si>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</si>
  <si>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</si>
  <si>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</si>
  <si>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</si>
  <si>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</si>
  <si>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</si>
  <si>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</si>
  <si>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</si>
  <si>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</si>
  <si>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</si>
  <si>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</si>
  <si>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</si>
  <si>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</si>
  <si>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</si>
  <si>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</si>
  <si>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</si>
  <si>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</si>
  <si>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</si>
  <si>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</si>
  <si>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</si>
  <si>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</si>
  <si>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</si>
  <si>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</si>
  <si>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</si>
  <si>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</si>
  <si>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</si>
  <si>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</si>
  <si>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</si>
  <si>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</si>
  <si>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</si>
  <si>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</si>
  <si>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</si>
  <si>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</si>
  <si>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</si>
  <si>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</si>
  <si>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</si>
  <si>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</si>
  <si>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</si>
  <si>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</si>
  <si>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</si>
  <si>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</si>
  <si>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</si>
  <si>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</si>
  <si>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</si>
  <si>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</si>
  <si>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</si>
  <si>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</si>
  <si>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</si>
  <si>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</si>
  <si>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</si>
  <si>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</si>
  <si>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</si>
  <si>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</si>
  <si>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</si>
  <si>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</si>
  <si>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</si>
  <si>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</si>
  <si>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</si>
  <si>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</si>
  <si>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</si>
  <si>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</si>
  <si>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</si>
  <si>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</si>
  <si>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</si>
  <si>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</si>
  <si>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</si>
  <si>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</si>
  <si>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</si>
  <si>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</si>
  <si>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</si>
  <si>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</si>
  <si>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</si>
  <si>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</si>
  <si>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</si>
  <si>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</si>
  <si>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</si>
  <si>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</si>
  <si>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</si>
  <si>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</si>
  <si>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</si>
  <si>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</si>
  <si>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</si>
  <si>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</si>
  <si>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</si>
  <si>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</si>
  <si>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</si>
  <si>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</si>
  <si>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</si>
  <si>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</si>
  <si>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</si>
  <si>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</si>
  <si>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</si>
  <si>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</si>
  <si>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</si>
  <si>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</si>
  <si>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</si>
  <si>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</si>
  <si>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</si>
  <si>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</si>
  <si>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</si>
  <si>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</si>
  <si>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</si>
  <si>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</si>
  <si>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</si>
  <si>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</si>
  <si>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</si>
  <si>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</si>
  <si>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</si>
  <si>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</si>
  <si>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</si>
  <si>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</si>
  <si>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</si>
  <si>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</si>
  <si>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</si>
  <si>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</si>
  <si>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</si>
  <si>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</si>
  <si>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</si>
  <si>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</si>
  <si>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</si>
  <si>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</si>
  <si>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</si>
  <si>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</si>
  <si>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</si>
  <si>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</si>
  <si>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</si>
  <si>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</si>
  <si>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</si>
  <si>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</si>
  <si>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</si>
  <si>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</si>
  <si>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</si>
  <si>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</si>
  <si>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</si>
  <si>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</si>
  <si>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</si>
  <si>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</si>
  <si>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</si>
  <si>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</si>
  <si>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</si>
  <si>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</si>
  <si>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</si>
  <si>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</si>
  <si>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</si>
  <si>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</si>
  <si>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</si>
  <si>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</si>
  <si>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</si>
  <si>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</si>
  <si>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</si>
  <si>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</si>
  <si>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</si>
  <si>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</si>
  <si>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</si>
  <si>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</si>
  <si>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</si>
  <si>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</si>
  <si>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</si>
  <si>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</si>
  <si>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</si>
  <si>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</si>
  <si>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</si>
  <si>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</si>
  <si>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</si>
  <si>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</si>
  <si>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</si>
  <si>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</si>
  <si>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</si>
  <si>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</si>
  <si>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</si>
  <si>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</si>
  <si>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</si>
  <si>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</si>
  <si>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</si>
  <si>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</si>
  <si>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</si>
  <si>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</si>
  <si>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</si>
  <si>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</si>
  <si>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</si>
  <si>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</si>
  <si>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</si>
  <si>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</si>
  <si>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</si>
  <si>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</si>
  <si>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</si>
  <si>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</si>
  <si>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</si>
  <si>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</si>
  <si>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</si>
  <si>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</si>
  <si>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</si>
  <si>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</si>
  <si>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</si>
  <si>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</si>
  <si>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</si>
  <si>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</si>
  <si>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</si>
  <si>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</si>
  <si>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</si>
  <si>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</si>
  <si>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</si>
  <si>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</si>
  <si>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</si>
  <si>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</si>
  <si>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</si>
  <si>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</si>
  <si>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</si>
  <si>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</si>
  <si>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</si>
  <si>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</si>
  <si>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</si>
  <si>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</si>
  <si>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</si>
  <si>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</si>
  <si>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</si>
  <si>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</si>
  <si>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</si>
  <si>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</si>
  <si>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</si>
  <si>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</si>
  <si>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</si>
  <si>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</si>
  <si>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</si>
  <si>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</si>
  <si>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</si>
  <si>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</si>
  <si>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</si>
  <si>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</si>
  <si>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</si>
  <si>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</si>
  <si>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</si>
  <si>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</si>
  <si>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</si>
  <si>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</si>
  <si>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</si>
  <si>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</si>
  <si>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</si>
  <si>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</si>
  <si>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</si>
  <si>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</si>
  <si>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</si>
  <si>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</si>
  <si>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</si>
  <si>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</si>
  <si>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</si>
  <si>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</si>
  <si>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</si>
  <si>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</si>
  <si>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</si>
  <si>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</si>
  <si>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</si>
  <si>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</si>
  <si>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</si>
  <si>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</si>
  <si>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</si>
  <si>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</si>
  <si>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</si>
  <si>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</si>
  <si>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</si>
  <si>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</si>
  <si>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</si>
  <si>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</si>
  <si>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</si>
  <si>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</si>
  <si>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</si>
  <si>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</si>
  <si>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</si>
  <si>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</si>
  <si>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</si>
  <si>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</si>
  <si>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</si>
  <si>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</si>
  <si>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</si>
  <si>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</si>
  <si>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</si>
  <si>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</si>
  <si>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</si>
  <si>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</si>
  <si>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</si>
  <si>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</si>
  <si>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</si>
  <si>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</si>
  <si>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</si>
  <si>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</si>
  <si>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</si>
  <si>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</si>
  <si>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</si>
  <si>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</si>
  <si>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</si>
  <si>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</si>
  <si>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</si>
  <si>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</si>
  <si>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</si>
  <si>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</si>
  <si>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</si>
  <si>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</si>
  <si>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</si>
  <si>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</si>
  <si>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</si>
  <si>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</si>
  <si>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</si>
  <si>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</si>
  <si>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</si>
  <si>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</si>
  <si>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</si>
  <si>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</si>
  <si>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</si>
  <si>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</si>
  <si>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</si>
  <si>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</si>
  <si>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</si>
  <si>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</si>
  <si>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</si>
  <si>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</si>
  <si>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</si>
  <si>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</si>
  <si>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</si>
  <si>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</si>
  <si>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</si>
  <si>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</si>
  <si>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</si>
  <si>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</si>
  <si>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</si>
  <si>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</si>
  <si>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</si>
  <si>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</si>
  <si>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</si>
  <si>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</si>
  <si>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</si>
  <si>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</si>
  <si>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</si>
  <si>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</si>
  <si>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</si>
  <si>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</si>
  <si>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</si>
  <si>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</si>
  <si>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</si>
  <si>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</si>
  <si>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</si>
  <si>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</si>
  <si>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</si>
  <si>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</si>
  <si>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</si>
  <si>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</si>
  <si>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</si>
  <si>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</si>
  <si>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</si>
  <si>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</si>
  <si>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</si>
  <si>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</si>
  <si>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</si>
  <si>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</si>
  <si>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</si>
  <si>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</si>
  <si>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</si>
  <si>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</si>
  <si>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</si>
  <si>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</si>
  <si>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</si>
  <si>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</si>
  <si>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</si>
  <si>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</si>
  <si>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</si>
  <si>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</si>
  <si>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</si>
  <si>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</si>
  <si>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</si>
  <si>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</si>
  <si>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</si>
  <si>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</si>
  <si>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</si>
  <si>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</si>
  <si>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</si>
  <si>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</si>
  <si>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</si>
  <si>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</si>
  <si>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</si>
  <si>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</si>
  <si>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</si>
  <si>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</si>
  <si>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</si>
  <si>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</si>
  <si>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</si>
  <si>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</si>
  <si>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</si>
  <si>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</si>
  <si>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</si>
  <si>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</si>
  <si>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</si>
  <si>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</si>
  <si>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</si>
  <si>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</si>
  <si>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</si>
  <si>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</si>
  <si>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</si>
  <si>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</si>
  <si>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</si>
  <si>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</si>
  <si>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</si>
  <si>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</si>
  <si>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</si>
  <si>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</si>
  <si>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</si>
  <si>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</si>
  <si>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</si>
  <si>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</si>
  <si>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</si>
  <si>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</si>
  <si>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</si>
  <si>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</si>
  <si>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</si>
  <si>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</si>
  <si>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</si>
  <si>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</si>
  <si>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</si>
  <si>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</si>
  <si>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</si>
  <si>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</si>
  <si>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</si>
  <si>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</si>
  <si>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</si>
  <si>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</si>
  <si>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</si>
  <si>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</si>
  <si>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</si>
  <si>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</si>
  <si>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</si>
  <si>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</si>
  <si>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</si>
  <si>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</si>
  <si>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</si>
  <si>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</si>
  <si>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</si>
  <si>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</si>
  <si>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</si>
  <si>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</si>
  <si>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</si>
  <si>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</si>
  <si>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</si>
  <si>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</si>
  <si>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</si>
  <si>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</si>
  <si>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</si>
  <si>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</si>
  <si>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</si>
  <si>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</si>
  <si>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</si>
  <si>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</si>
  <si>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</si>
  <si>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</si>
  <si>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</si>
  <si>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</si>
  <si>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</si>
  <si>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</si>
  <si>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</si>
  <si>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</si>
  <si>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</si>
  <si>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</si>
  <si>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</si>
  <si>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</si>
  <si>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</si>
  <si>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</si>
  <si>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</si>
  <si>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</si>
  <si>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</si>
  <si>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</si>
  <si>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</si>
  <si>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</si>
  <si>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</si>
  <si>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</si>
  <si>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</si>
  <si>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</si>
  <si>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</si>
  <si>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</si>
  <si>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</si>
  <si>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</si>
  <si>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</si>
  <si>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</si>
  <si>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</si>
  <si>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</si>
  <si>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</si>
  <si>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</si>
  <si>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</si>
  <si>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</si>
  <si>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</si>
  <si>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</si>
  <si>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</si>
  <si>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</si>
  <si>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</si>
  <si>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</si>
  <si>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</si>
  <si>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</si>
  <si>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</si>
  <si>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</si>
  <si>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</si>
  <si>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</si>
  <si>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</si>
  <si>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</si>
  <si>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</si>
  <si>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</si>
  <si>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</si>
  <si>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</si>
  <si>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</si>
  <si>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</si>
  <si>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</si>
  <si>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</si>
  <si>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</si>
  <si>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</si>
  <si>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</si>
  <si>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</si>
  <si>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</si>
  <si>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</si>
  <si>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</si>
  <si>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</si>
  <si>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</si>
  <si>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</si>
  <si>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</si>
  <si>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</si>
  <si>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</si>
  <si>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</si>
  <si>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</si>
  <si>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</si>
  <si>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</si>
  <si>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</si>
  <si>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</si>
  <si>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</si>
  <si>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</si>
  <si>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</si>
  <si>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</si>
  <si>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</si>
  <si>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</si>
  <si>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</si>
  <si>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</si>
  <si>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</si>
  <si>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</si>
  <si>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</si>
  <si>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</si>
  <si>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</si>
  <si>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</si>
  <si>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</si>
  <si>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</si>
  <si>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</si>
  <si>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</si>
  <si>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</si>
  <si>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</si>
  <si>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</si>
  <si>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</si>
  <si>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</si>
  <si>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</si>
  <si>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</si>
  <si>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</si>
  <si>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</si>
  <si>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</si>
  <si>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</si>
  <si>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</si>
  <si>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</si>
  <si>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</si>
  <si>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</si>
  <si>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</si>
  <si>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</si>
  <si>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</si>
  <si>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^^ reflected]bal</t>
  </si>
  <si>
    <t>FnF2b refunded{MB</t>
  </si>
  <si>
    <t>MBrefund$2101.49#stmt</t>
  </si>
  <si>
    <t>Ajuma FnF</t>
  </si>
  <si>
    <t>FLI250 upfront#1</t>
  </si>
  <si>
    <t>FLI250 upfront#2</t>
  </si>
  <si>
    <t>{1300</t>
  </si>
  <si>
    <t>int@190k #6/2#31D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</si>
</sst>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3783</v>
      </c>
    </row>
    <row r="3" spans="1:2">
      <c r="A3">
        <v>2</v>
      </c>
      <c r="B3" t="s">
        <v>3784</v>
      </c>
    </row>
    <row r="4" spans="1:2">
      <c r="A4">
        <v>3</v>
      </c>
      <c r="B4" t="s">
        <v>3785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5" t="s">
        <v>91</v>
      </c>
      <c r="C1" s="615"/>
      <c r="D1" s="616" t="s">
        <v>92</v>
      </c>
      <c r="E1" s="615"/>
      <c r="F1" s="616" t="s">
        <v>93</v>
      </c>
      <c r="G1" s="615"/>
      <c r="H1" s="614" t="s">
        <v>94</v>
      </c>
      <c r="I1" s="614"/>
      <c r="J1" s="608" t="s">
        <v>92</v>
      </c>
      <c r="K1" s="609"/>
      <c r="L1" s="612" t="s">
        <v>95</v>
      </c>
      <c r="M1" s="613"/>
      <c r="N1" s="614" t="s">
        <v>96</v>
      </c>
      <c r="O1" s="614"/>
      <c r="P1" s="608" t="s">
        <v>97</v>
      </c>
      <c r="Q1" s="609"/>
      <c r="R1" s="612" t="s">
        <v>98</v>
      </c>
      <c r="S1" s="613"/>
      <c r="T1" s="598" t="s">
        <v>99</v>
      </c>
      <c r="U1" s="598"/>
      <c r="V1" s="608" t="s">
        <v>92</v>
      </c>
      <c r="W1" s="609"/>
      <c r="X1" s="604" t="s">
        <v>100</v>
      </c>
      <c r="Y1" s="605"/>
      <c r="Z1" s="598" t="s">
        <v>101</v>
      </c>
      <c r="AA1" s="598"/>
      <c r="AB1" s="602" t="s">
        <v>92</v>
      </c>
      <c r="AC1" s="603"/>
      <c r="AD1" s="610" t="s">
        <v>100</v>
      </c>
      <c r="AE1" s="611"/>
      <c r="AF1" s="598" t="s">
        <v>102</v>
      </c>
      <c r="AG1" s="598"/>
      <c r="AH1" s="602" t="s">
        <v>92</v>
      </c>
      <c r="AI1" s="603"/>
      <c r="AJ1" s="604" t="s">
        <v>103</v>
      </c>
      <c r="AK1" s="605"/>
      <c r="AL1" s="598" t="s">
        <v>104</v>
      </c>
      <c r="AM1" s="598"/>
      <c r="AN1" s="606" t="s">
        <v>92</v>
      </c>
      <c r="AO1" s="607"/>
      <c r="AP1" s="596" t="s">
        <v>105</v>
      </c>
      <c r="AQ1" s="597"/>
      <c r="AR1" s="598" t="s">
        <v>106</v>
      </c>
      <c r="AS1" s="598"/>
      <c r="AV1" s="596" t="s">
        <v>107</v>
      </c>
      <c r="AW1" s="597"/>
      <c r="AX1" s="599" t="s">
        <v>108</v>
      </c>
      <c r="AY1" s="599"/>
      <c r="AZ1" s="599"/>
      <c r="BA1" s="358"/>
      <c r="BB1" s="600">
        <v>42942</v>
      </c>
      <c r="BC1" s="601"/>
      <c r="BD1" s="601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5" t="s">
        <v>124</v>
      </c>
      <c r="U4" s="595"/>
      <c r="X4" s="439" t="s">
        <v>123</v>
      </c>
      <c r="Y4" s="465">
        <f>Y3-Y6</f>
        <v>4.9669099999591708</v>
      </c>
      <c r="Z4" s="595" t="s">
        <v>125</v>
      </c>
      <c r="AA4" s="595"/>
      <c r="AD4" s="408" t="s">
        <v>123</v>
      </c>
      <c r="AE4" s="408">
        <f>AE3-AE5</f>
        <v>-52.526899999851594</v>
      </c>
      <c r="AF4" s="595" t="s">
        <v>125</v>
      </c>
      <c r="AG4" s="595"/>
      <c r="AH4" s="65"/>
      <c r="AI4" s="65"/>
      <c r="AJ4" s="408" t="s">
        <v>123</v>
      </c>
      <c r="AK4" s="408">
        <f>AK3-AK5</f>
        <v>94.988909999992757</v>
      </c>
      <c r="AL4" s="595" t="s">
        <v>125</v>
      </c>
      <c r="AM4" s="595"/>
      <c r="AP4" s="51" t="s">
        <v>123</v>
      </c>
      <c r="AQ4" s="50">
        <f>AQ3-AQ5</f>
        <v>33.841989999942598</v>
      </c>
      <c r="AR4" s="595" t="s">
        <v>125</v>
      </c>
      <c r="AS4" s="595"/>
      <c r="AX4" s="595" t="s">
        <v>126</v>
      </c>
      <c r="AY4" s="595"/>
      <c r="BB4" s="595" t="s">
        <v>127</v>
      </c>
      <c r="BC4" s="59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5"/>
      <c r="U5" s="595"/>
      <c r="V5" s="352" t="s">
        <v>132</v>
      </c>
      <c r="W5">
        <v>2050</v>
      </c>
      <c r="X5" s="413"/>
      <c r="Z5" s="595"/>
      <c r="AA5" s="595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5"/>
      <c r="AG5" s="595"/>
      <c r="AH5" s="65"/>
      <c r="AI5" s="65"/>
      <c r="AJ5" s="408" t="s">
        <v>134</v>
      </c>
      <c r="AK5" s="466">
        <f>SUM(AK11:AK59)</f>
        <v>30858.011000000002</v>
      </c>
      <c r="AL5" s="595"/>
      <c r="AM5" s="595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5"/>
      <c r="AS5" s="595"/>
      <c r="AX5" s="595"/>
      <c r="AY5" s="595"/>
      <c r="BB5" s="595"/>
      <c r="BC5" s="595"/>
      <c r="BD5" s="590" t="s">
        <v>136</v>
      </c>
      <c r="BE5" s="590"/>
      <c r="BF5" s="590"/>
      <c r="BG5" s="590"/>
      <c r="BH5" s="590"/>
      <c r="BI5" s="590"/>
      <c r="BJ5" s="590"/>
      <c r="BK5" s="590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91" t="s">
        <v>335</v>
      </c>
      <c r="W23" s="592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3"/>
      <c r="W24" s="594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7" t="s">
        <v>524</v>
      </c>
      <c r="F38" s="618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5" t="s">
        <v>567</v>
      </c>
      <c r="C1" s="615"/>
      <c r="D1" s="610" t="s">
        <v>568</v>
      </c>
      <c r="E1" s="611"/>
      <c r="F1" s="615" t="s">
        <v>569</v>
      </c>
      <c r="G1" s="615"/>
      <c r="H1" s="624" t="s">
        <v>570</v>
      </c>
      <c r="I1" s="625"/>
      <c r="J1" s="610" t="s">
        <v>568</v>
      </c>
      <c r="K1" s="611"/>
      <c r="L1" s="615" t="s">
        <v>571</v>
      </c>
      <c r="M1" s="615"/>
      <c r="N1" s="624" t="s">
        <v>570</v>
      </c>
      <c r="O1" s="625"/>
      <c r="P1" s="610" t="s">
        <v>568</v>
      </c>
      <c r="Q1" s="611"/>
      <c r="R1" s="615" t="s">
        <v>572</v>
      </c>
      <c r="S1" s="615"/>
      <c r="T1" s="624" t="s">
        <v>570</v>
      </c>
      <c r="U1" s="625"/>
      <c r="V1" s="610" t="s">
        <v>568</v>
      </c>
      <c r="W1" s="611"/>
      <c r="X1" s="615" t="s">
        <v>573</v>
      </c>
      <c r="Y1" s="615"/>
      <c r="Z1" s="624" t="s">
        <v>570</v>
      </c>
      <c r="AA1" s="625"/>
      <c r="AB1" s="610" t="s">
        <v>568</v>
      </c>
      <c r="AC1" s="611"/>
      <c r="AD1" s="615" t="s">
        <v>574</v>
      </c>
      <c r="AE1" s="615"/>
      <c r="AF1" s="624" t="s">
        <v>570</v>
      </c>
      <c r="AG1" s="625"/>
      <c r="AH1" s="610" t="s">
        <v>568</v>
      </c>
      <c r="AI1" s="611"/>
      <c r="AJ1" s="615" t="s">
        <v>575</v>
      </c>
      <c r="AK1" s="615"/>
      <c r="AL1" s="624" t="s">
        <v>576</v>
      </c>
      <c r="AM1" s="625"/>
      <c r="AN1" s="610" t="s">
        <v>577</v>
      </c>
      <c r="AO1" s="611"/>
      <c r="AP1" s="615" t="s">
        <v>578</v>
      </c>
      <c r="AQ1" s="615"/>
      <c r="AR1" s="624" t="s">
        <v>570</v>
      </c>
      <c r="AS1" s="625"/>
      <c r="AT1" s="610" t="s">
        <v>568</v>
      </c>
      <c r="AU1" s="611"/>
      <c r="AV1" s="615" t="s">
        <v>579</v>
      </c>
      <c r="AW1" s="615"/>
      <c r="AX1" s="624" t="s">
        <v>570</v>
      </c>
      <c r="AY1" s="625"/>
      <c r="AZ1" s="610" t="s">
        <v>568</v>
      </c>
      <c r="BA1" s="611"/>
      <c r="BB1" s="615" t="s">
        <v>580</v>
      </c>
      <c r="BC1" s="615"/>
      <c r="BD1" s="624" t="s">
        <v>570</v>
      </c>
      <c r="BE1" s="625"/>
      <c r="BF1" s="610" t="s">
        <v>568</v>
      </c>
      <c r="BG1" s="611"/>
      <c r="BH1" s="615" t="s">
        <v>581</v>
      </c>
      <c r="BI1" s="615"/>
      <c r="BJ1" s="624" t="s">
        <v>570</v>
      </c>
      <c r="BK1" s="625"/>
      <c r="BL1" s="610" t="s">
        <v>568</v>
      </c>
      <c r="BM1" s="611"/>
      <c r="BN1" s="615" t="s">
        <v>582</v>
      </c>
      <c r="BO1" s="615"/>
      <c r="BP1" s="624" t="s">
        <v>570</v>
      </c>
      <c r="BQ1" s="625"/>
      <c r="BR1" s="610" t="s">
        <v>568</v>
      </c>
      <c r="BS1" s="611"/>
      <c r="BT1" s="615" t="s">
        <v>583</v>
      </c>
      <c r="BU1" s="615"/>
      <c r="BV1" s="624" t="s">
        <v>584</v>
      </c>
      <c r="BW1" s="625"/>
      <c r="BX1" s="610" t="s">
        <v>585</v>
      </c>
      <c r="BY1" s="611"/>
      <c r="BZ1" s="615" t="s">
        <v>586</v>
      </c>
      <c r="CA1" s="615"/>
      <c r="CB1" s="624" t="s">
        <v>587</v>
      </c>
      <c r="CC1" s="625"/>
      <c r="CD1" s="610" t="s">
        <v>588</v>
      </c>
      <c r="CE1" s="611"/>
      <c r="CF1" s="615" t="s">
        <v>589</v>
      </c>
      <c r="CG1" s="615"/>
      <c r="CH1" s="624" t="s">
        <v>587</v>
      </c>
      <c r="CI1" s="625"/>
      <c r="CJ1" s="610" t="s">
        <v>588</v>
      </c>
      <c r="CK1" s="611"/>
      <c r="CL1" s="615" t="s">
        <v>590</v>
      </c>
      <c r="CM1" s="615"/>
      <c r="CN1" s="624" t="s">
        <v>587</v>
      </c>
      <c r="CO1" s="625"/>
      <c r="CP1" s="610" t="s">
        <v>588</v>
      </c>
      <c r="CQ1" s="611"/>
      <c r="CR1" s="615" t="s">
        <v>591</v>
      </c>
      <c r="CS1" s="615"/>
      <c r="CT1" s="624" t="s">
        <v>587</v>
      </c>
      <c r="CU1" s="625"/>
      <c r="CV1" s="626" t="s">
        <v>588</v>
      </c>
      <c r="CW1" s="627"/>
      <c r="CX1" s="615" t="s">
        <v>592</v>
      </c>
      <c r="CY1" s="615"/>
      <c r="CZ1" s="624" t="s">
        <v>587</v>
      </c>
      <c r="DA1" s="625"/>
      <c r="DB1" s="626" t="s">
        <v>588</v>
      </c>
      <c r="DC1" s="627"/>
      <c r="DD1" s="615" t="s">
        <v>593</v>
      </c>
      <c r="DE1" s="615"/>
      <c r="DF1" s="624" t="s">
        <v>594</v>
      </c>
      <c r="DG1" s="625"/>
      <c r="DH1" s="626" t="s">
        <v>595</v>
      </c>
      <c r="DI1" s="627"/>
      <c r="DJ1" s="615" t="s">
        <v>596</v>
      </c>
      <c r="DK1" s="615"/>
      <c r="DL1" s="624" t="s">
        <v>594</v>
      </c>
      <c r="DM1" s="625"/>
      <c r="DN1" s="626" t="s">
        <v>588</v>
      </c>
      <c r="DO1" s="627"/>
      <c r="DP1" s="615" t="s">
        <v>597</v>
      </c>
      <c r="DQ1" s="615"/>
      <c r="DR1" s="624" t="s">
        <v>594</v>
      </c>
      <c r="DS1" s="625"/>
      <c r="DT1" s="626" t="s">
        <v>588</v>
      </c>
      <c r="DU1" s="627"/>
      <c r="DV1" s="615" t="s">
        <v>598</v>
      </c>
      <c r="DW1" s="615"/>
      <c r="DX1" s="624" t="s">
        <v>594</v>
      </c>
      <c r="DY1" s="625"/>
      <c r="DZ1" s="626" t="s">
        <v>588</v>
      </c>
      <c r="EA1" s="627"/>
      <c r="EB1" s="615" t="s">
        <v>599</v>
      </c>
      <c r="EC1" s="615"/>
      <c r="ED1" s="624" t="s">
        <v>594</v>
      </c>
      <c r="EE1" s="625"/>
      <c r="EF1" s="626" t="s">
        <v>588</v>
      </c>
      <c r="EG1" s="627"/>
      <c r="EH1" s="615" t="s">
        <v>600</v>
      </c>
      <c r="EI1" s="615"/>
      <c r="EJ1" s="624" t="s">
        <v>594</v>
      </c>
      <c r="EK1" s="625"/>
      <c r="EL1" s="626" t="s">
        <v>601</v>
      </c>
      <c r="EM1" s="627"/>
      <c r="EN1" s="615" t="s">
        <v>602</v>
      </c>
      <c r="EO1" s="615"/>
      <c r="EP1" s="624" t="s">
        <v>594</v>
      </c>
      <c r="EQ1" s="625"/>
      <c r="ER1" s="626" t="s">
        <v>603</v>
      </c>
      <c r="ES1" s="627"/>
      <c r="ET1" s="615" t="s">
        <v>604</v>
      </c>
      <c r="EU1" s="615"/>
      <c r="EV1" s="624" t="s">
        <v>594</v>
      </c>
      <c r="EW1" s="625"/>
      <c r="EX1" s="626" t="s">
        <v>103</v>
      </c>
      <c r="EY1" s="627"/>
      <c r="EZ1" s="615" t="s">
        <v>605</v>
      </c>
      <c r="FA1" s="615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3" t="s">
        <v>672</v>
      </c>
      <c r="CU7" s="615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3" t="s">
        <v>702</v>
      </c>
      <c r="DA8" s="615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3" t="s">
        <v>702</v>
      </c>
      <c r="DG8" s="615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3" t="s">
        <v>702</v>
      </c>
      <c r="DM8" s="615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3" t="s">
        <v>702</v>
      </c>
      <c r="DS8" s="615"/>
      <c r="DT8" s="15" t="s">
        <v>700</v>
      </c>
      <c r="DU8" s="15">
        <f>SUM(DU13:DU17)</f>
        <v>32</v>
      </c>
      <c r="DV8" s="9"/>
      <c r="DW8" s="9"/>
      <c r="DX8" s="623" t="s">
        <v>702</v>
      </c>
      <c r="DY8" s="615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3" t="s">
        <v>703</v>
      </c>
      <c r="EK8" s="615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3" t="s">
        <v>703</v>
      </c>
      <c r="EQ9" s="615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3" t="s">
        <v>703</v>
      </c>
      <c r="EW9" s="615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3" t="s">
        <v>703</v>
      </c>
      <c r="EE11" s="615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3" t="s">
        <v>702</v>
      </c>
      <c r="CU12" s="61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8" t="s">
        <v>912</v>
      </c>
      <c r="CU19" s="598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9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0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9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0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P5" sqref="OP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10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3" t="s">
        <v>1017</v>
      </c>
      <c r="B1" s="633"/>
      <c r="C1" s="606" t="s">
        <v>92</v>
      </c>
      <c r="D1" s="607"/>
      <c r="E1" s="596" t="s">
        <v>1018</v>
      </c>
      <c r="F1" s="597"/>
      <c r="G1" s="633" t="s">
        <v>1019</v>
      </c>
      <c r="H1" s="633"/>
      <c r="I1" s="606" t="s">
        <v>92</v>
      </c>
      <c r="J1" s="607"/>
      <c r="K1" s="596" t="s">
        <v>1020</v>
      </c>
      <c r="L1" s="597"/>
      <c r="M1" s="633" t="s">
        <v>1021</v>
      </c>
      <c r="N1" s="633"/>
      <c r="O1" s="606" t="s">
        <v>92</v>
      </c>
      <c r="P1" s="607"/>
      <c r="Q1" s="596" t="s">
        <v>1022</v>
      </c>
      <c r="R1" s="597"/>
      <c r="S1" s="633" t="s">
        <v>1023</v>
      </c>
      <c r="T1" s="633"/>
      <c r="U1" s="606" t="s">
        <v>92</v>
      </c>
      <c r="V1" s="607"/>
      <c r="W1" s="596" t="s">
        <v>577</v>
      </c>
      <c r="X1" s="597"/>
      <c r="Y1" s="633" t="s">
        <v>1024</v>
      </c>
      <c r="Z1" s="633"/>
      <c r="AA1" s="606" t="s">
        <v>92</v>
      </c>
      <c r="AB1" s="607"/>
      <c r="AC1" s="596" t="s">
        <v>1025</v>
      </c>
      <c r="AD1" s="597"/>
      <c r="AE1" s="633" t="s">
        <v>1026</v>
      </c>
      <c r="AF1" s="633"/>
      <c r="AG1" s="606" t="s">
        <v>92</v>
      </c>
      <c r="AH1" s="607"/>
      <c r="AI1" s="596" t="s">
        <v>1027</v>
      </c>
      <c r="AJ1" s="597"/>
      <c r="AK1" s="633" t="s">
        <v>1028</v>
      </c>
      <c r="AL1" s="633"/>
      <c r="AM1" s="606" t="s">
        <v>1029</v>
      </c>
      <c r="AN1" s="607"/>
      <c r="AO1" s="596" t="s">
        <v>1030</v>
      </c>
      <c r="AP1" s="597"/>
      <c r="AQ1" s="633" t="s">
        <v>1031</v>
      </c>
      <c r="AR1" s="633"/>
      <c r="AS1" s="606" t="s">
        <v>1029</v>
      </c>
      <c r="AT1" s="607"/>
      <c r="AU1" s="596" t="s">
        <v>1032</v>
      </c>
      <c r="AV1" s="597"/>
      <c r="AW1" s="633" t="s">
        <v>1033</v>
      </c>
      <c r="AX1" s="633"/>
      <c r="AY1" s="596" t="s">
        <v>1034</v>
      </c>
      <c r="AZ1" s="597"/>
      <c r="BA1" s="633" t="s">
        <v>1033</v>
      </c>
      <c r="BB1" s="633"/>
      <c r="BC1" s="606" t="s">
        <v>594</v>
      </c>
      <c r="BD1" s="607"/>
      <c r="BE1" s="596" t="s">
        <v>1035</v>
      </c>
      <c r="BF1" s="597"/>
      <c r="BG1" s="633" t="s">
        <v>1036</v>
      </c>
      <c r="BH1" s="633"/>
      <c r="BI1" s="606" t="s">
        <v>594</v>
      </c>
      <c r="BJ1" s="607"/>
      <c r="BK1" s="596" t="s">
        <v>1035</v>
      </c>
      <c r="BL1" s="597"/>
      <c r="BM1" s="633" t="s">
        <v>1037</v>
      </c>
      <c r="BN1" s="633"/>
      <c r="BO1" s="606" t="s">
        <v>594</v>
      </c>
      <c r="BP1" s="607"/>
      <c r="BQ1" s="596" t="s">
        <v>1038</v>
      </c>
      <c r="BR1" s="597"/>
      <c r="BS1" s="633" t="s">
        <v>1039</v>
      </c>
      <c r="BT1" s="633"/>
      <c r="BU1" s="606" t="s">
        <v>594</v>
      </c>
      <c r="BV1" s="607"/>
      <c r="BW1" s="596" t="s">
        <v>1040</v>
      </c>
      <c r="BX1" s="597"/>
      <c r="BY1" s="633" t="s">
        <v>1041</v>
      </c>
      <c r="BZ1" s="633"/>
      <c r="CA1" s="606" t="s">
        <v>594</v>
      </c>
      <c r="CB1" s="607"/>
      <c r="CC1" s="596" t="s">
        <v>1038</v>
      </c>
      <c r="CD1" s="597"/>
      <c r="CE1" s="633" t="s">
        <v>1042</v>
      </c>
      <c r="CF1" s="633"/>
      <c r="CG1" s="606" t="s">
        <v>594</v>
      </c>
      <c r="CH1" s="607"/>
      <c r="CI1" s="596" t="s">
        <v>1040</v>
      </c>
      <c r="CJ1" s="597"/>
      <c r="CK1" s="633" t="s">
        <v>1043</v>
      </c>
      <c r="CL1" s="633"/>
      <c r="CM1" s="606" t="s">
        <v>594</v>
      </c>
      <c r="CN1" s="607"/>
      <c r="CO1" s="596" t="s">
        <v>1038</v>
      </c>
      <c r="CP1" s="597"/>
      <c r="CQ1" s="633" t="s">
        <v>1044</v>
      </c>
      <c r="CR1" s="633"/>
      <c r="CS1" s="655" t="s">
        <v>594</v>
      </c>
      <c r="CT1" s="656"/>
      <c r="CU1" s="596" t="s">
        <v>1045</v>
      </c>
      <c r="CV1" s="597"/>
      <c r="CW1" s="633" t="s">
        <v>1046</v>
      </c>
      <c r="CX1" s="633"/>
      <c r="CY1" s="655" t="s">
        <v>594</v>
      </c>
      <c r="CZ1" s="656"/>
      <c r="DA1" s="596" t="s">
        <v>1047</v>
      </c>
      <c r="DB1" s="597"/>
      <c r="DC1" s="633" t="s">
        <v>1048</v>
      </c>
      <c r="DD1" s="633"/>
      <c r="DE1" s="655" t="s">
        <v>594</v>
      </c>
      <c r="DF1" s="656"/>
      <c r="DG1" s="596" t="s">
        <v>1049</v>
      </c>
      <c r="DH1" s="597"/>
      <c r="DI1" s="633" t="s">
        <v>1050</v>
      </c>
      <c r="DJ1" s="633"/>
      <c r="DK1" s="655" t="s">
        <v>594</v>
      </c>
      <c r="DL1" s="656"/>
      <c r="DM1" s="596" t="s">
        <v>1045</v>
      </c>
      <c r="DN1" s="597"/>
      <c r="DO1" s="633" t="s">
        <v>1051</v>
      </c>
      <c r="DP1" s="633"/>
      <c r="DQ1" s="655" t="s">
        <v>594</v>
      </c>
      <c r="DR1" s="656"/>
      <c r="DS1" s="596" t="s">
        <v>1052</v>
      </c>
      <c r="DT1" s="597"/>
      <c r="DU1" s="633" t="s">
        <v>1053</v>
      </c>
      <c r="DV1" s="633"/>
      <c r="DW1" s="655" t="s">
        <v>594</v>
      </c>
      <c r="DX1" s="656"/>
      <c r="DY1" s="596" t="s">
        <v>1054</v>
      </c>
      <c r="DZ1" s="597"/>
      <c r="EA1" s="652" t="s">
        <v>1055</v>
      </c>
      <c r="EB1" s="652"/>
      <c r="EC1" s="655" t="s">
        <v>594</v>
      </c>
      <c r="ED1" s="656"/>
      <c r="EE1" s="596" t="s">
        <v>1052</v>
      </c>
      <c r="EF1" s="597"/>
      <c r="EG1" s="46"/>
      <c r="EH1" s="652" t="s">
        <v>1056</v>
      </c>
      <c r="EI1" s="652"/>
      <c r="EJ1" s="655" t="s">
        <v>594</v>
      </c>
      <c r="EK1" s="656"/>
      <c r="EL1" s="596" t="s">
        <v>1057</v>
      </c>
      <c r="EM1" s="597"/>
      <c r="EN1" s="652" t="s">
        <v>1058</v>
      </c>
      <c r="EO1" s="652"/>
      <c r="EP1" s="655" t="s">
        <v>594</v>
      </c>
      <c r="EQ1" s="656"/>
      <c r="ER1" s="596" t="s">
        <v>1059</v>
      </c>
      <c r="ES1" s="597"/>
      <c r="ET1" s="652" t="s">
        <v>1060</v>
      </c>
      <c r="EU1" s="652"/>
      <c r="EV1" s="655" t="s">
        <v>594</v>
      </c>
      <c r="EW1" s="656"/>
      <c r="EX1" s="596" t="s">
        <v>1054</v>
      </c>
      <c r="EY1" s="597"/>
      <c r="EZ1" s="652" t="s">
        <v>1061</v>
      </c>
      <c r="FA1" s="652"/>
      <c r="FB1" s="655" t="s">
        <v>594</v>
      </c>
      <c r="FC1" s="656"/>
      <c r="FD1" s="596" t="s">
        <v>1047</v>
      </c>
      <c r="FE1" s="597"/>
      <c r="FF1" s="652" t="s">
        <v>1062</v>
      </c>
      <c r="FG1" s="652"/>
      <c r="FH1" s="655" t="s">
        <v>594</v>
      </c>
      <c r="FI1" s="656"/>
      <c r="FJ1" s="596" t="s">
        <v>1045</v>
      </c>
      <c r="FK1" s="597"/>
      <c r="FL1" s="652" t="s">
        <v>1063</v>
      </c>
      <c r="FM1" s="652"/>
      <c r="FN1" s="655" t="s">
        <v>594</v>
      </c>
      <c r="FO1" s="656"/>
      <c r="FP1" s="596" t="s">
        <v>1064</v>
      </c>
      <c r="FQ1" s="597"/>
      <c r="FR1" s="652" t="s">
        <v>1065</v>
      </c>
      <c r="FS1" s="652"/>
      <c r="FT1" s="655" t="s">
        <v>594</v>
      </c>
      <c r="FU1" s="656"/>
      <c r="FV1" s="596" t="s">
        <v>1064</v>
      </c>
      <c r="FW1" s="597"/>
      <c r="FX1" s="652" t="s">
        <v>1066</v>
      </c>
      <c r="FY1" s="652"/>
      <c r="FZ1" s="655" t="s">
        <v>594</v>
      </c>
      <c r="GA1" s="656"/>
      <c r="GB1" s="596" t="s">
        <v>1054</v>
      </c>
      <c r="GC1" s="597"/>
      <c r="GD1" s="652" t="s">
        <v>1067</v>
      </c>
      <c r="GE1" s="652"/>
      <c r="GF1" s="655" t="s">
        <v>594</v>
      </c>
      <c r="GG1" s="656"/>
      <c r="GH1" s="596" t="s">
        <v>1052</v>
      </c>
      <c r="GI1" s="597"/>
      <c r="GJ1" s="652" t="s">
        <v>1068</v>
      </c>
      <c r="GK1" s="652"/>
      <c r="GL1" s="655" t="s">
        <v>594</v>
      </c>
      <c r="GM1" s="656"/>
      <c r="GN1" s="596" t="s">
        <v>1052</v>
      </c>
      <c r="GO1" s="597"/>
      <c r="GP1" s="652" t="s">
        <v>1069</v>
      </c>
      <c r="GQ1" s="652"/>
      <c r="GR1" s="655" t="s">
        <v>594</v>
      </c>
      <c r="GS1" s="656"/>
      <c r="GT1" s="596" t="s">
        <v>1057</v>
      </c>
      <c r="GU1" s="597"/>
      <c r="GV1" s="652" t="s">
        <v>1070</v>
      </c>
      <c r="GW1" s="652"/>
      <c r="GX1" s="655" t="s">
        <v>594</v>
      </c>
      <c r="GY1" s="656"/>
      <c r="GZ1" s="596" t="s">
        <v>1071</v>
      </c>
      <c r="HA1" s="597"/>
      <c r="HB1" s="652" t="s">
        <v>1072</v>
      </c>
      <c r="HC1" s="652"/>
      <c r="HD1" s="655" t="s">
        <v>594</v>
      </c>
      <c r="HE1" s="656"/>
      <c r="HF1" s="596" t="s">
        <v>1059</v>
      </c>
      <c r="HG1" s="597"/>
      <c r="HH1" s="652" t="s">
        <v>1073</v>
      </c>
      <c r="HI1" s="652"/>
      <c r="HJ1" s="655" t="s">
        <v>594</v>
      </c>
      <c r="HK1" s="656"/>
      <c r="HL1" s="596" t="s">
        <v>1045</v>
      </c>
      <c r="HM1" s="597"/>
      <c r="HN1" s="652" t="s">
        <v>1074</v>
      </c>
      <c r="HO1" s="652"/>
      <c r="HP1" s="655" t="s">
        <v>594</v>
      </c>
      <c r="HQ1" s="656"/>
      <c r="HR1" s="596" t="s">
        <v>1045</v>
      </c>
      <c r="HS1" s="597"/>
      <c r="HT1" s="652" t="s">
        <v>1075</v>
      </c>
      <c r="HU1" s="652"/>
      <c r="HV1" s="655" t="s">
        <v>594</v>
      </c>
      <c r="HW1" s="656"/>
      <c r="HX1" s="596" t="s">
        <v>1054</v>
      </c>
      <c r="HY1" s="597"/>
      <c r="HZ1" s="652" t="s">
        <v>1076</v>
      </c>
      <c r="IA1" s="652"/>
      <c r="IB1" s="655" t="s">
        <v>594</v>
      </c>
      <c r="IC1" s="656"/>
      <c r="ID1" s="596" t="s">
        <v>1059</v>
      </c>
      <c r="IE1" s="597"/>
      <c r="IF1" s="652" t="s">
        <v>1077</v>
      </c>
      <c r="IG1" s="652"/>
      <c r="IH1" s="655" t="s">
        <v>594</v>
      </c>
      <c r="II1" s="656"/>
      <c r="IJ1" s="596" t="s">
        <v>1052</v>
      </c>
      <c r="IK1" s="597"/>
      <c r="IL1" s="652" t="s">
        <v>1078</v>
      </c>
      <c r="IM1" s="652"/>
      <c r="IN1" s="655" t="s">
        <v>594</v>
      </c>
      <c r="IO1" s="656"/>
      <c r="IP1" s="596" t="s">
        <v>1054</v>
      </c>
      <c r="IQ1" s="597"/>
      <c r="IR1" s="652" t="s">
        <v>1079</v>
      </c>
      <c r="IS1" s="652"/>
      <c r="IT1" s="655" t="s">
        <v>594</v>
      </c>
      <c r="IU1" s="656"/>
      <c r="IV1" s="596" t="s">
        <v>1080</v>
      </c>
      <c r="IW1" s="597"/>
      <c r="IX1" s="652" t="s">
        <v>1081</v>
      </c>
      <c r="IY1" s="652"/>
      <c r="IZ1" s="655" t="s">
        <v>594</v>
      </c>
      <c r="JA1" s="656"/>
      <c r="JB1" s="596" t="s">
        <v>1064</v>
      </c>
      <c r="JC1" s="597"/>
      <c r="JD1" s="652" t="s">
        <v>1082</v>
      </c>
      <c r="JE1" s="652"/>
      <c r="JF1" s="655" t="s">
        <v>594</v>
      </c>
      <c r="JG1" s="656"/>
      <c r="JH1" s="596" t="s">
        <v>1080</v>
      </c>
      <c r="JI1" s="597"/>
      <c r="JJ1" s="652" t="s">
        <v>1083</v>
      </c>
      <c r="JK1" s="652"/>
      <c r="JL1" s="583" t="s">
        <v>594</v>
      </c>
      <c r="JM1" s="103"/>
      <c r="JN1" s="549" t="s">
        <v>1080</v>
      </c>
      <c r="JO1" s="46"/>
      <c r="JP1" s="652" t="s">
        <v>1084</v>
      </c>
      <c r="JQ1" s="652"/>
      <c r="JR1" s="583" t="s">
        <v>594</v>
      </c>
      <c r="JS1" s="103"/>
      <c r="JT1" s="549" t="s">
        <v>1057</v>
      </c>
      <c r="JU1" s="46"/>
      <c r="JV1" s="652" t="s">
        <v>1085</v>
      </c>
      <c r="JW1" s="652"/>
      <c r="JX1" s="583" t="s">
        <v>594</v>
      </c>
      <c r="JY1" s="103"/>
      <c r="JZ1" s="549" t="s">
        <v>1086</v>
      </c>
      <c r="KA1" s="46"/>
      <c r="KB1" s="652" t="s">
        <v>1087</v>
      </c>
      <c r="KC1" s="652"/>
      <c r="KD1" s="583" t="s">
        <v>594</v>
      </c>
      <c r="KE1" s="103"/>
      <c r="KF1" s="549" t="s">
        <v>1045</v>
      </c>
      <c r="KG1" s="46"/>
      <c r="KH1" s="652" t="s">
        <v>1088</v>
      </c>
      <c r="KI1" s="652"/>
      <c r="KJ1" s="583" t="s">
        <v>594</v>
      </c>
      <c r="KK1" s="103"/>
      <c r="KL1" s="549" t="s">
        <v>1052</v>
      </c>
      <c r="KM1" s="46"/>
      <c r="KN1" s="652" t="s">
        <v>1089</v>
      </c>
      <c r="KO1" s="652"/>
      <c r="KP1" s="583" t="s">
        <v>594</v>
      </c>
      <c r="KQ1" s="103"/>
      <c r="KR1" s="549" t="s">
        <v>1052</v>
      </c>
      <c r="KS1" s="46"/>
      <c r="KT1" s="652" t="s">
        <v>1090</v>
      </c>
      <c r="KU1" s="652"/>
      <c r="KV1" s="583" t="s">
        <v>594</v>
      </c>
      <c r="KW1" s="103"/>
      <c r="KX1" s="549" t="s">
        <v>1052</v>
      </c>
      <c r="KY1" s="46"/>
      <c r="KZ1" s="652" t="s">
        <v>1091</v>
      </c>
      <c r="LA1" s="652"/>
      <c r="LB1" s="583" t="s">
        <v>594</v>
      </c>
      <c r="LC1" s="103"/>
      <c r="LD1" s="549" t="s">
        <v>1059</v>
      </c>
      <c r="LE1" s="46"/>
      <c r="LF1" s="652" t="s">
        <v>1092</v>
      </c>
      <c r="LG1" s="652"/>
      <c r="LH1" s="583" t="s">
        <v>594</v>
      </c>
      <c r="LI1" s="103"/>
      <c r="LJ1" s="549" t="s">
        <v>1057</v>
      </c>
      <c r="LK1" s="46"/>
      <c r="LL1" s="652" t="s">
        <v>1093</v>
      </c>
      <c r="LM1" s="652"/>
      <c r="LN1" s="583" t="s">
        <v>594</v>
      </c>
      <c r="LO1" s="301"/>
      <c r="LP1" s="549" t="s">
        <v>1059</v>
      </c>
      <c r="LQ1" s="46"/>
      <c r="LR1" s="652" t="s">
        <v>1094</v>
      </c>
      <c r="LS1" s="652"/>
      <c r="LT1" s="583" t="s">
        <v>594</v>
      </c>
      <c r="LU1" s="301"/>
      <c r="LV1" s="549" t="s">
        <v>1064</v>
      </c>
      <c r="LW1" s="46"/>
      <c r="LX1" s="652" t="s">
        <v>1095</v>
      </c>
      <c r="LY1" s="652"/>
      <c r="LZ1" s="583" t="s">
        <v>594</v>
      </c>
      <c r="MA1" s="301"/>
      <c r="MB1" s="549" t="s">
        <v>1057</v>
      </c>
      <c r="MC1" s="46"/>
      <c r="MD1" s="652" t="s">
        <v>1096</v>
      </c>
      <c r="ME1" s="652"/>
      <c r="MF1" s="583" t="s">
        <v>594</v>
      </c>
      <c r="MG1" s="301"/>
      <c r="MH1" s="549" t="s">
        <v>1045</v>
      </c>
      <c r="MI1" s="46"/>
      <c r="MJ1" s="652" t="s">
        <v>1097</v>
      </c>
      <c r="MK1" s="652"/>
      <c r="ML1" s="583" t="s">
        <v>594</v>
      </c>
      <c r="MM1" s="301"/>
      <c r="MN1" s="549" t="s">
        <v>1064</v>
      </c>
      <c r="MO1" s="46"/>
      <c r="MP1" s="652" t="s">
        <v>1098</v>
      </c>
      <c r="MQ1" s="652"/>
      <c r="MR1" s="583" t="s">
        <v>594</v>
      </c>
      <c r="MS1" s="301"/>
      <c r="MT1" s="549" t="s">
        <v>1057</v>
      </c>
      <c r="MU1" s="46"/>
      <c r="MV1" s="652" t="s">
        <v>1099</v>
      </c>
      <c r="MW1" s="652"/>
      <c r="MX1" s="583" t="s">
        <v>594</v>
      </c>
      <c r="MY1" s="301"/>
      <c r="MZ1" s="549" t="s">
        <v>1052</v>
      </c>
      <c r="NA1" s="46"/>
      <c r="NB1" s="652" t="s">
        <v>1100</v>
      </c>
      <c r="NC1" s="652"/>
      <c r="ND1" s="583" t="s">
        <v>594</v>
      </c>
      <c r="NE1" s="301"/>
      <c r="NF1" s="549" t="s">
        <v>1045</v>
      </c>
      <c r="NG1" s="46"/>
      <c r="NH1" s="652" t="s">
        <v>1101</v>
      </c>
      <c r="NI1" s="652"/>
      <c r="NJ1" s="583" t="s">
        <v>594</v>
      </c>
      <c r="NK1" s="301"/>
      <c r="NL1" s="549" t="s">
        <v>1047</v>
      </c>
      <c r="NM1" s="46"/>
      <c r="NN1" s="652" t="s">
        <v>1102</v>
      </c>
      <c r="NO1" s="652"/>
      <c r="NP1" s="583" t="s">
        <v>594</v>
      </c>
      <c r="NQ1" s="301"/>
      <c r="NR1" s="549" t="s">
        <v>1064</v>
      </c>
      <c r="NS1" s="46"/>
      <c r="NT1" s="652" t="s">
        <v>1103</v>
      </c>
      <c r="NU1" s="652"/>
      <c r="NV1" s="583" t="s">
        <v>594</v>
      </c>
      <c r="NW1" s="301"/>
      <c r="NX1" s="549" t="s">
        <v>1080</v>
      </c>
      <c r="NY1" s="46"/>
      <c r="NZ1" s="652" t="s">
        <v>1104</v>
      </c>
      <c r="OA1" s="652"/>
      <c r="OB1" s="583" t="s">
        <v>594</v>
      </c>
      <c r="OC1" s="301"/>
      <c r="OD1" s="549" t="s">
        <v>1080</v>
      </c>
      <c r="OE1" s="46"/>
      <c r="OF1" s="652" t="s">
        <v>1105</v>
      </c>
      <c r="OG1" s="652"/>
      <c r="OH1" s="583" t="s">
        <v>594</v>
      </c>
      <c r="OI1" s="301"/>
      <c r="OJ1" s="549" t="s">
        <v>1080</v>
      </c>
      <c r="OK1" s="46"/>
      <c r="OL1" s="652" t="s">
        <v>1106</v>
      </c>
      <c r="OM1" s="652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SUM(OI4:OI27)</f>
        <v>8863.41</v>
      </c>
      <c r="OJ2" s="68" t="s">
        <v>116</v>
      </c>
      <c r="OK2" s="89">
        <f>OI2+OG2-OM2</f>
        <v>16481.839999999909</v>
      </c>
      <c r="OL2" s="15" t="s">
        <v>1118</v>
      </c>
      <c r="OM2" s="43">
        <f>SUM(OM4:OM31)</f>
        <v>292246.57000000007</v>
      </c>
    </row>
    <row r="3" spans="1:405">
      <c r="A3" s="632" t="s">
        <v>1119</v>
      </c>
      <c r="B3" s="632"/>
      <c r="E3" s="51" t="s">
        <v>123</v>
      </c>
      <c r="F3" s="50">
        <f>F2-F4</f>
        <v>17</v>
      </c>
      <c r="G3" s="632" t="s">
        <v>1119</v>
      </c>
      <c r="H3" s="632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OK2-OI35-OI34</f>
        <v>4768.0299999999079</v>
      </c>
      <c r="OL3" s="15" t="s">
        <v>1146</v>
      </c>
      <c r="OM3" s="15" t="s">
        <v>1152</v>
      </c>
      <c r="ON3" s="25"/>
    </row>
    <row r="4" spans="1:405" ht="12.75" customHeight="1">
      <c r="A4" s="632"/>
      <c r="B4" s="632"/>
      <c r="E4" s="51" t="s">
        <v>134</v>
      </c>
      <c r="F4" s="50">
        <f>SUM(F14:F57)</f>
        <v>12750</v>
      </c>
      <c r="G4" s="632"/>
      <c r="H4" s="63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0.60999999990599463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SUM(OK6:OK48)</f>
        <v>16481.230000000003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53" t="s">
        <v>1253</v>
      </c>
      <c r="LK6" s="654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3" t="s">
        <v>1255</v>
      </c>
      <c r="LW6" s="654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3789</v>
      </c>
      <c r="OI6" s="117"/>
      <c r="OJ6" s="325" t="s">
        <v>1271</v>
      </c>
      <c r="OK6" s="41">
        <v>3000.03</v>
      </c>
      <c r="OL6" s="61" t="s">
        <v>1270</v>
      </c>
      <c r="OM6" s="43">
        <v>100028</v>
      </c>
      <c r="ON6" s="341" t="s">
        <v>3793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1183</v>
      </c>
      <c r="BN7" s="73">
        <v>-33</v>
      </c>
      <c r="BQ7" s="42" t="s">
        <v>1272</v>
      </c>
      <c r="BR7" s="42">
        <f>SUM(BR23:BR29)</f>
        <v>409.53999999999996</v>
      </c>
      <c r="BS7" s="72" t="s">
        <v>1183</v>
      </c>
      <c r="BT7" s="90">
        <v>-25</v>
      </c>
      <c r="BW7" s="42" t="s">
        <v>1272</v>
      </c>
      <c r="BX7" s="42">
        <f>SUM(BX23:BX29)</f>
        <v>325.44</v>
      </c>
      <c r="BY7" s="72" t="s">
        <v>1183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1183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1183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1183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1183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1279</v>
      </c>
      <c r="DW7" s="569" t="s">
        <v>1222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1184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1184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1222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1232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1232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1297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1301</v>
      </c>
      <c r="JS7" s="234">
        <v>236.43</v>
      </c>
      <c r="JT7" s="247" t="s">
        <v>1232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53" t="s">
        <v>1253</v>
      </c>
      <c r="LQ7" s="654"/>
      <c r="LR7" s="253" t="s">
        <v>1252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1210</v>
      </c>
      <c r="MK7" s="315">
        <v>75000</v>
      </c>
      <c r="ML7" s="15" t="s">
        <v>1308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1257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1210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1212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87" t="s">
        <v>3787</v>
      </c>
      <c r="OI7" s="117"/>
      <c r="OJ7" s="325" t="s">
        <v>1335</v>
      </c>
      <c r="OK7" s="41">
        <v>137</v>
      </c>
      <c r="OL7" s="61" t="s">
        <v>1336</v>
      </c>
      <c r="OM7" s="43">
        <v>295394</v>
      </c>
      <c r="ON7" s="341">
        <v>45709</v>
      </c>
      <c r="OO7" s="43"/>
    </row>
    <row r="8" spans="1:405" ht="12.75" customHeight="1">
      <c r="A8" s="52"/>
      <c r="B8" s="53"/>
      <c r="E8" s="15" t="s">
        <v>1337</v>
      </c>
      <c r="G8" s="52"/>
      <c r="H8" s="53"/>
      <c r="K8" s="15" t="s">
        <v>1337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1338</v>
      </c>
      <c r="T8" s="54">
        <v>200.001</v>
      </c>
      <c r="W8" s="15" t="s">
        <v>1272</v>
      </c>
      <c r="X8" s="15">
        <f>SUM(X25:X29)</f>
        <v>396.68999999999994</v>
      </c>
      <c r="Y8" s="47" t="s">
        <v>1338</v>
      </c>
      <c r="Z8" s="54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7" t="s">
        <v>1338</v>
      </c>
      <c r="AF8" s="54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58" t="s">
        <v>1338</v>
      </c>
      <c r="AL8" s="74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58" t="s">
        <v>1338</v>
      </c>
      <c r="AR8" s="74">
        <v>100</v>
      </c>
      <c r="AS8" s="15" t="s">
        <v>1276</v>
      </c>
      <c r="AU8" s="15" t="s">
        <v>1337</v>
      </c>
      <c r="AV8" s="15">
        <f>SUM(AV20:AV24)</f>
        <v>522</v>
      </c>
      <c r="AW8" s="58" t="s">
        <v>1338</v>
      </c>
      <c r="AX8" s="74">
        <v>200</v>
      </c>
      <c r="BA8" s="58" t="s">
        <v>1338</v>
      </c>
      <c r="BB8" s="53">
        <f t="shared" si="0"/>
        <v>200</v>
      </c>
      <c r="BC8" s="15" t="s">
        <v>1276</v>
      </c>
      <c r="BE8" s="15" t="s">
        <v>1337</v>
      </c>
      <c r="BF8" s="15">
        <f>SUM(BF18:BF22)</f>
        <v>1641.3799999999999</v>
      </c>
      <c r="BG8" s="58" t="s">
        <v>1338</v>
      </c>
      <c r="BH8" s="74">
        <v>150</v>
      </c>
      <c r="BI8" s="42" t="s">
        <v>1276</v>
      </c>
      <c r="BK8" s="42" t="s">
        <v>1337</v>
      </c>
      <c r="BL8" s="42">
        <f>SUM(BL18:BL22)</f>
        <v>387</v>
      </c>
      <c r="BM8" s="58" t="s">
        <v>1338</v>
      </c>
      <c r="BN8" s="74">
        <v>90</v>
      </c>
      <c r="BO8" s="42" t="s">
        <v>1276</v>
      </c>
      <c r="BQ8" s="42" t="s">
        <v>1337</v>
      </c>
      <c r="BR8" s="42">
        <f>SUM(BR18:BR22)</f>
        <v>452</v>
      </c>
      <c r="BS8" s="58" t="s">
        <v>1338</v>
      </c>
      <c r="BT8" s="91">
        <v>100</v>
      </c>
      <c r="BU8" s="42" t="s">
        <v>1276</v>
      </c>
      <c r="BW8" s="42" t="s">
        <v>1337</v>
      </c>
      <c r="BX8" s="42">
        <f>SUM(BX18:BX22)</f>
        <v>172</v>
      </c>
      <c r="BY8" s="58" t="s">
        <v>1338</v>
      </c>
      <c r="BZ8" s="96">
        <v>60</v>
      </c>
      <c r="CA8" s="42" t="s">
        <v>1276</v>
      </c>
      <c r="CC8" s="42" t="s">
        <v>1337</v>
      </c>
      <c r="CD8" s="42">
        <f>SUM(CD18:CD22)</f>
        <v>215</v>
      </c>
      <c r="CE8" s="58" t="s">
        <v>1338</v>
      </c>
      <c r="CF8" s="96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58" t="s">
        <v>1338</v>
      </c>
      <c r="CL8" s="96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58" t="s">
        <v>1338</v>
      </c>
      <c r="CR8" s="96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1342</v>
      </c>
      <c r="CZ8" s="42">
        <v>62</v>
      </c>
      <c r="DA8" s="114" t="s">
        <v>1337</v>
      </c>
      <c r="DB8" s="42">
        <f>SUM(DB17:DB17)</f>
        <v>1316.1</v>
      </c>
      <c r="DC8" s="52" t="s">
        <v>1183</v>
      </c>
      <c r="DD8" s="53">
        <v>-222</v>
      </c>
      <c r="DE8" s="42" t="s">
        <v>1342</v>
      </c>
      <c r="DF8" s="42">
        <v>67.11</v>
      </c>
      <c r="DG8" s="114" t="s">
        <v>1337</v>
      </c>
      <c r="DH8" s="44">
        <f>SUM(DH26:DH28)</f>
        <v>1232.1299999999999</v>
      </c>
      <c r="DI8" s="126" t="s">
        <v>1183</v>
      </c>
      <c r="DJ8" s="53">
        <v>0</v>
      </c>
      <c r="DK8" s="42" t="s">
        <v>1342</v>
      </c>
      <c r="DL8" s="42">
        <v>63</v>
      </c>
      <c r="DM8" s="114" t="s">
        <v>1343</v>
      </c>
      <c r="DN8" s="44">
        <f>SUM(DN21:DN23)</f>
        <v>189.2</v>
      </c>
      <c r="DO8" s="63" t="s">
        <v>1221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1343</v>
      </c>
      <c r="DZ8" s="15">
        <f>SUM(DZ14:DZ14)</f>
        <v>0</v>
      </c>
      <c r="EA8" s="22" t="s">
        <v>1344</v>
      </c>
      <c r="EB8" s="22">
        <v>-252</v>
      </c>
      <c r="EE8" s="66" t="s">
        <v>1343</v>
      </c>
      <c r="EF8" s="15">
        <f>SUM(EF14:EF14)</f>
        <v>0</v>
      </c>
      <c r="EH8" s="61" t="s">
        <v>1221</v>
      </c>
      <c r="EI8" s="59">
        <v>0</v>
      </c>
      <c r="EJ8" s="59" t="s">
        <v>1345</v>
      </c>
      <c r="EK8" s="15">
        <v>5</v>
      </c>
      <c r="EL8" s="153" t="s">
        <v>1346</v>
      </c>
      <c r="EM8" s="15">
        <f>SUM(EM15:EM15)</f>
        <v>28.119999999999997</v>
      </c>
      <c r="EN8" s="61" t="s">
        <v>1221</v>
      </c>
      <c r="EO8" s="59">
        <v>0</v>
      </c>
      <c r="ER8" s="154" t="s">
        <v>1347</v>
      </c>
      <c r="ES8" s="15">
        <f>SUM(ES24:ES24)</f>
        <v>0</v>
      </c>
      <c r="ET8" s="61" t="s">
        <v>1221</v>
      </c>
      <c r="EU8" s="59">
        <v>0</v>
      </c>
      <c r="EX8" s="154" t="s">
        <v>1347</v>
      </c>
      <c r="EY8" s="15">
        <f>SUM(EY23:EY25)</f>
        <v>59.949999999999996</v>
      </c>
      <c r="EZ8" s="61" t="s">
        <v>1221</v>
      </c>
      <c r="FA8" s="59">
        <v>0</v>
      </c>
      <c r="FD8" s="154" t="s">
        <v>1347</v>
      </c>
      <c r="FE8" s="15">
        <f>SUM(FE23:FE26)</f>
        <v>117.02</v>
      </c>
      <c r="FF8" s="61" t="s">
        <v>1221</v>
      </c>
      <c r="FG8" s="59">
        <v>0</v>
      </c>
      <c r="FH8" s="15" t="s">
        <v>1281</v>
      </c>
      <c r="FI8" s="15">
        <v>40</v>
      </c>
      <c r="FJ8" s="154" t="s">
        <v>1347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1348</v>
      </c>
      <c r="FU8" s="15">
        <v>148</v>
      </c>
      <c r="FV8" s="160" t="s">
        <v>1283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1198</v>
      </c>
      <c r="GE8" s="165">
        <v>30</v>
      </c>
      <c r="GF8" s="15" t="s">
        <v>1349</v>
      </c>
      <c r="GG8" s="18">
        <v>30</v>
      </c>
      <c r="GH8" s="169" t="s">
        <v>1286</v>
      </c>
      <c r="GI8" s="100">
        <f>SUM(GI15)</f>
        <v>0</v>
      </c>
      <c r="GJ8" s="59" t="s">
        <v>1350</v>
      </c>
      <c r="GK8" s="165">
        <v>300</v>
      </c>
      <c r="GN8" s="169" t="s">
        <v>1286</v>
      </c>
      <c r="GO8" s="100">
        <f>SUM(GO14)</f>
        <v>0</v>
      </c>
      <c r="GP8" s="59" t="s">
        <v>1350</v>
      </c>
      <c r="GQ8" s="165">
        <v>29.05</v>
      </c>
      <c r="GR8" s="15" t="s">
        <v>1351</v>
      </c>
      <c r="GS8" s="15">
        <v>4000</v>
      </c>
      <c r="GT8" s="169" t="s">
        <v>1286</v>
      </c>
      <c r="GU8" s="100">
        <f>SUM(GU16:GU17)</f>
        <v>84255</v>
      </c>
      <c r="GV8" s="59" t="s">
        <v>1350</v>
      </c>
      <c r="GW8" s="165">
        <v>29.05</v>
      </c>
      <c r="GX8" s="569" t="s">
        <v>1222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1286</v>
      </c>
      <c r="HG8" s="100">
        <f>SUM(HG14:HG16)</f>
        <v>3184.9333333333334</v>
      </c>
      <c r="HH8" s="59" t="s">
        <v>1350</v>
      </c>
      <c r="HI8" s="165">
        <v>38</v>
      </c>
      <c r="HJ8" s="15" t="s">
        <v>1352</v>
      </c>
      <c r="HL8" s="70" t="s">
        <v>1353</v>
      </c>
      <c r="HM8" s="15">
        <v>345.6</v>
      </c>
      <c r="HN8" s="47" t="s">
        <v>1124</v>
      </c>
      <c r="HO8" s="15">
        <v>-540</v>
      </c>
      <c r="HP8" s="15" t="s">
        <v>1352</v>
      </c>
      <c r="HR8" s="155" t="s">
        <v>1354</v>
      </c>
      <c r="HS8" s="15">
        <v>807.85</v>
      </c>
      <c r="HT8" s="47" t="s">
        <v>1124</v>
      </c>
      <c r="HU8" s="15">
        <v>-1653</v>
      </c>
      <c r="HV8" s="15" t="s">
        <v>1355</v>
      </c>
      <c r="HW8" s="18">
        <v>2.1</v>
      </c>
      <c r="HX8" s="161" t="s">
        <v>1232</v>
      </c>
      <c r="HY8" s="15">
        <v>1900.1</v>
      </c>
      <c r="HZ8" s="59" t="s">
        <v>1350</v>
      </c>
      <c r="IA8" s="165">
        <v>0</v>
      </c>
      <c r="IB8" s="15" t="s">
        <v>1356</v>
      </c>
      <c r="IC8" s="211"/>
      <c r="ID8" s="171" t="s">
        <v>1357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1358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1359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1360</v>
      </c>
      <c r="JC8" s="41">
        <v>300.27999999999997</v>
      </c>
      <c r="JD8" s="61" t="s">
        <v>1247</v>
      </c>
      <c r="JE8" s="43">
        <v>-4000</v>
      </c>
      <c r="JF8" s="15" t="s">
        <v>1297</v>
      </c>
      <c r="JG8" s="211"/>
      <c r="JH8" s="171" t="s">
        <v>1361</v>
      </c>
      <c r="JI8" s="41">
        <v>327.74</v>
      </c>
      <c r="JJ8" s="61" t="s">
        <v>1247</v>
      </c>
      <c r="JK8" s="43">
        <v>-4000</v>
      </c>
      <c r="JL8" s="236" t="s">
        <v>1362</v>
      </c>
      <c r="JM8" s="15">
        <v>2.5</v>
      </c>
      <c r="JN8" s="171" t="s">
        <v>1363</v>
      </c>
      <c r="JO8" s="41">
        <v>48.69</v>
      </c>
      <c r="JP8" s="75" t="s">
        <v>1364</v>
      </c>
      <c r="JQ8" s="43">
        <f>100*(330+310)</f>
        <v>64000</v>
      </c>
      <c r="JR8" s="15" t="s">
        <v>1297</v>
      </c>
      <c r="JS8" s="211"/>
      <c r="JT8" s="171" t="s">
        <v>1365</v>
      </c>
      <c r="JU8" s="41">
        <v>1476</v>
      </c>
      <c r="JV8" s="47" t="s">
        <v>1299</v>
      </c>
      <c r="JW8" s="165">
        <v>61</v>
      </c>
      <c r="JX8" s="15" t="s">
        <v>1366</v>
      </c>
      <c r="JY8" s="234">
        <v>60</v>
      </c>
      <c r="JZ8" s="247" t="s">
        <v>1232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1">
        <v>-64875.360000000001</v>
      </c>
      <c r="KF8" s="70" t="s">
        <v>1369</v>
      </c>
      <c r="KG8" s="92">
        <v>2000</v>
      </c>
      <c r="KH8" s="15" t="s">
        <v>1370</v>
      </c>
      <c r="KI8" s="43">
        <f>-135000</f>
        <v>-135000</v>
      </c>
      <c r="KJ8" s="15" t="s">
        <v>1371</v>
      </c>
      <c r="KK8" s="211">
        <v>-1800.01</v>
      </c>
      <c r="KL8" s="155" t="s">
        <v>1372</v>
      </c>
      <c r="KM8" s="41">
        <v>9.4499999999999993</v>
      </c>
      <c r="KN8" s="290">
        <v>20000</v>
      </c>
      <c r="KO8" s="291">
        <v>45384</v>
      </c>
      <c r="KP8" s="59" t="s">
        <v>1373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1232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1374</v>
      </c>
      <c r="LE8" s="89">
        <f>1000+2000+5000</f>
        <v>8000</v>
      </c>
      <c r="LF8" s="15" t="s">
        <v>1375</v>
      </c>
      <c r="LG8" s="43">
        <v>-115915</v>
      </c>
      <c r="LH8" s="63" t="s">
        <v>1376</v>
      </c>
      <c r="LI8" s="298">
        <v>793.69</v>
      </c>
      <c r="LJ8" s="284" t="s">
        <v>1377</v>
      </c>
      <c r="LK8" s="178">
        <v>14.55</v>
      </c>
      <c r="LL8" s="15" t="s">
        <v>1375</v>
      </c>
      <c r="LM8" s="43" t="s">
        <v>1378</v>
      </c>
      <c r="LN8" s="15" t="s">
        <v>1314</v>
      </c>
      <c r="LO8" s="211">
        <f>-(48322.06)</f>
        <v>-48322.06</v>
      </c>
      <c r="LP8" s="176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55" t="s">
        <v>1381</v>
      </c>
      <c r="MC8" s="54">
        <v>145.76</v>
      </c>
      <c r="MD8" s="61" t="s">
        <v>1382</v>
      </c>
      <c r="ME8" s="232">
        <v>150000</v>
      </c>
      <c r="MF8" s="59" t="s">
        <v>1383</v>
      </c>
      <c r="MG8" s="117" t="s">
        <v>1384</v>
      </c>
      <c r="MH8" s="112" t="s">
        <v>1385</v>
      </c>
      <c r="MI8" s="41">
        <v>1900.06</v>
      </c>
      <c r="MJ8" s="253" t="s">
        <v>1257</v>
      </c>
      <c r="MK8" s="292">
        <v>0</v>
      </c>
      <c r="ML8" s="15" t="s">
        <v>1386</v>
      </c>
      <c r="MM8" s="38">
        <f>1.8+69.6</f>
        <v>71.399999999999991</v>
      </c>
      <c r="MN8" s="112" t="s">
        <v>1387</v>
      </c>
      <c r="MO8" s="41">
        <v>1000.06</v>
      </c>
      <c r="MP8" s="253" t="s">
        <v>1257</v>
      </c>
      <c r="MQ8" s="292">
        <v>0</v>
      </c>
      <c r="MR8" s="59" t="s">
        <v>1388</v>
      </c>
      <c r="MS8" s="117">
        <v>5684</v>
      </c>
      <c r="MT8" s="112" t="s">
        <v>1389</v>
      </c>
      <c r="MU8" s="41">
        <v>2000</v>
      </c>
      <c r="MV8" s="61" t="s">
        <v>1319</v>
      </c>
      <c r="MW8" s="232">
        <v>50000</v>
      </c>
      <c r="MX8" s="59" t="s">
        <v>1390</v>
      </c>
      <c r="MY8" s="117">
        <v>42.6</v>
      </c>
      <c r="MZ8" s="293" t="s">
        <v>1391</v>
      </c>
      <c r="NA8" s="15">
        <v>46.85</v>
      </c>
      <c r="NB8" s="290" t="s">
        <v>1210</v>
      </c>
      <c r="NC8" s="315">
        <v>94000</v>
      </c>
      <c r="ND8" s="15" t="s">
        <v>1392</v>
      </c>
      <c r="NE8" s="41">
        <v>2943</v>
      </c>
      <c r="NF8" s="155" t="s">
        <v>1393</v>
      </c>
      <c r="NG8" s="41">
        <f>13002*2</f>
        <v>26004</v>
      </c>
      <c r="NH8" s="61" t="s">
        <v>1247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0">
        <v>18000</v>
      </c>
      <c r="NO8" s="291">
        <v>45678</v>
      </c>
      <c r="NP8" s="15" t="s">
        <v>1395</v>
      </c>
      <c r="NQ8" s="41">
        <f>1850*2</f>
        <v>3700</v>
      </c>
      <c r="NR8" s="155" t="s">
        <v>1318</v>
      </c>
      <c r="NS8" s="41">
        <v>1000</v>
      </c>
      <c r="NT8" s="61" t="s">
        <v>1247</v>
      </c>
      <c r="NU8" s="43">
        <v>-3000</v>
      </c>
      <c r="NV8" s="332" t="s">
        <v>1396</v>
      </c>
      <c r="NW8" s="41">
        <v>86.2</v>
      </c>
      <c r="NX8" s="325" t="s">
        <v>1397</v>
      </c>
      <c r="NY8" s="41">
        <v>2</v>
      </c>
      <c r="NZ8" s="89" t="s">
        <v>1398</v>
      </c>
      <c r="OA8" s="92">
        <v>62511</v>
      </c>
      <c r="OB8" s="59" t="s">
        <v>1399</v>
      </c>
      <c r="OC8" s="41">
        <v>5468.3</v>
      </c>
      <c r="OD8" s="325" t="s">
        <v>1400</v>
      </c>
      <c r="OE8" s="41">
        <v>75</v>
      </c>
      <c r="OF8" s="61" t="s">
        <v>1401</v>
      </c>
      <c r="OG8" s="43">
        <v>0</v>
      </c>
      <c r="OH8" s="59" t="s">
        <v>1402</v>
      </c>
      <c r="OI8" s="117">
        <v>1.21</v>
      </c>
      <c r="OJ8" s="325" t="s">
        <v>1403</v>
      </c>
      <c r="OK8" s="41"/>
      <c r="OL8" s="61" t="s">
        <v>1401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1337</v>
      </c>
      <c r="S9" s="47" t="s">
        <v>158</v>
      </c>
      <c r="T9" s="54">
        <v>480</v>
      </c>
      <c r="W9" s="15" t="s">
        <v>1337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1341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1341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1341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1341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1341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1280</v>
      </c>
      <c r="DP9" s="53"/>
      <c r="DS9" s="114" t="s">
        <v>1343</v>
      </c>
      <c r="DT9" s="44">
        <f>SUM(DT50:DT50)</f>
        <v>0</v>
      </c>
      <c r="DU9" s="22" t="s">
        <v>1344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1352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1352</v>
      </c>
      <c r="ER9" s="153" t="s">
        <v>1346</v>
      </c>
      <c r="ES9" s="15">
        <f>SUM(ES14:ES15)</f>
        <v>1743.4</v>
      </c>
      <c r="ET9" s="47" t="s">
        <v>1412</v>
      </c>
      <c r="EU9" s="15">
        <v>260</v>
      </c>
      <c r="EV9" s="15" t="s">
        <v>1352</v>
      </c>
      <c r="EX9" s="153" t="s">
        <v>1346</v>
      </c>
      <c r="EY9" s="15">
        <f>SUM(EY14:EY14)</f>
        <v>481.5</v>
      </c>
      <c r="EZ9" s="47" t="s">
        <v>1412</v>
      </c>
      <c r="FA9" s="15">
        <v>200</v>
      </c>
      <c r="FB9" s="15" t="s">
        <v>1352</v>
      </c>
      <c r="FD9" s="153" t="s">
        <v>1346</v>
      </c>
      <c r="FE9" s="15">
        <f>SUM(FE13:FE15)</f>
        <v>1754.25</v>
      </c>
      <c r="FF9" s="47" t="s">
        <v>1412</v>
      </c>
      <c r="FG9" s="15">
        <v>220</v>
      </c>
      <c r="FJ9" s="153" t="s">
        <v>1346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1347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1414</v>
      </c>
      <c r="FU9" s="15">
        <v>230</v>
      </c>
      <c r="FV9" s="154" t="s">
        <v>1347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1198</v>
      </c>
      <c r="GQ9" s="165">
        <v>30</v>
      </c>
      <c r="GT9" s="160" t="s">
        <v>1283</v>
      </c>
      <c r="GU9" s="15">
        <f>SUM(GU18:GU25)</f>
        <v>427.03000000000003</v>
      </c>
      <c r="GV9" s="59" t="s">
        <v>1198</v>
      </c>
      <c r="GW9" s="165">
        <v>30</v>
      </c>
      <c r="GX9" s="15" t="s">
        <v>1281</v>
      </c>
      <c r="GY9" s="15">
        <f>53.57+3.21</f>
        <v>56.78</v>
      </c>
      <c r="GZ9" s="154" t="s">
        <v>1347</v>
      </c>
      <c r="HA9" s="15">
        <f>SUM(HA25:HA39)</f>
        <v>1242.31</v>
      </c>
      <c r="HB9" s="59" t="s">
        <v>1350</v>
      </c>
      <c r="HC9" s="165">
        <v>38</v>
      </c>
      <c r="HD9" s="15" t="s">
        <v>1417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1350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1350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1364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1364</v>
      </c>
      <c r="JE9" s="43">
        <f>100*(120+1000+330+310)</f>
        <v>176000</v>
      </c>
      <c r="JF9" s="236" t="s">
        <v>1433</v>
      </c>
      <c r="JH9" s="155" t="s">
        <v>1307</v>
      </c>
      <c r="JI9" s="41">
        <v>1954.8</v>
      </c>
      <c r="JJ9" s="75" t="s">
        <v>1364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1302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1299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1307</v>
      </c>
      <c r="KY9" s="41">
        <v>993.6</v>
      </c>
      <c r="KZ9" s="15" t="s">
        <v>1375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1386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1319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1382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1336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7" t="s">
        <v>3791</v>
      </c>
      <c r="OI9" s="117">
        <v>1253.8699999999999</v>
      </c>
      <c r="OJ9" s="155" t="s">
        <v>1467</v>
      </c>
      <c r="OK9" s="41">
        <v>168.52</v>
      </c>
      <c r="OL9" s="61" t="s">
        <v>1466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1468</v>
      </c>
      <c r="L10" s="15">
        <f>SUM(L33:L36)</f>
        <v>2119</v>
      </c>
      <c r="M10" s="47" t="s">
        <v>1469</v>
      </c>
      <c r="N10" s="55">
        <v>1001</v>
      </c>
      <c r="O10" s="15" t="s">
        <v>1276</v>
      </c>
      <c r="Q10" s="15" t="s">
        <v>1404</v>
      </c>
      <c r="S10" s="47" t="s">
        <v>1469</v>
      </c>
      <c r="T10" s="55">
        <v>1001</v>
      </c>
      <c r="U10" s="15" t="s">
        <v>1276</v>
      </c>
      <c r="W10" s="15" t="s">
        <v>1404</v>
      </c>
      <c r="X10" s="15">
        <f>SUM(X16:X19)</f>
        <v>288.75</v>
      </c>
      <c r="Y10" s="47" t="s">
        <v>1469</v>
      </c>
      <c r="Z10" s="55">
        <v>1001</v>
      </c>
      <c r="AA10" s="15" t="s">
        <v>1276</v>
      </c>
      <c r="AC10" s="15" t="s">
        <v>1470</v>
      </c>
      <c r="AD10" s="15">
        <v>0</v>
      </c>
      <c r="AE10" s="63" t="s">
        <v>1471</v>
      </c>
      <c r="AF10" s="54">
        <v>4985</v>
      </c>
      <c r="AG10" s="15" t="s">
        <v>1276</v>
      </c>
      <c r="AI10" s="15" t="s">
        <v>1470</v>
      </c>
      <c r="AJ10" s="15">
        <f>AJ24</f>
        <v>30</v>
      </c>
      <c r="AK10" s="63" t="s">
        <v>1471</v>
      </c>
      <c r="AL10" s="54">
        <v>5000</v>
      </c>
      <c r="AO10" s="15" t="s">
        <v>1470</v>
      </c>
      <c r="AP10" s="15">
        <f>SUM(AP33:AP44)</f>
        <v>1111.54</v>
      </c>
      <c r="AQ10" s="63" t="s">
        <v>1471</v>
      </c>
      <c r="AR10" s="54">
        <v>4000</v>
      </c>
      <c r="AS10" s="15" t="s">
        <v>1472</v>
      </c>
      <c r="AU10" s="15" t="s">
        <v>1470</v>
      </c>
      <c r="AV10" s="15">
        <f>SUM(AV33)</f>
        <v>24</v>
      </c>
      <c r="AW10" s="63" t="s">
        <v>1471</v>
      </c>
      <c r="AX10" s="54">
        <v>4000</v>
      </c>
      <c r="BA10" s="63" t="s">
        <v>1471</v>
      </c>
      <c r="BB10" s="53">
        <f t="shared" si="0"/>
        <v>4000</v>
      </c>
      <c r="BC10" s="15" t="s">
        <v>1472</v>
      </c>
      <c r="BE10" s="15" t="s">
        <v>1473</v>
      </c>
      <c r="BF10" s="15">
        <f>SUM(BF30:BF35)</f>
        <v>246.62</v>
      </c>
      <c r="BG10" s="63" t="s">
        <v>1471</v>
      </c>
      <c r="BH10" s="54">
        <v>4000</v>
      </c>
      <c r="BI10" s="42" t="s">
        <v>1472</v>
      </c>
      <c r="BK10" s="42" t="s">
        <v>1473</v>
      </c>
      <c r="BL10" s="42">
        <f>SUM(BL30:BL32)</f>
        <v>63.9</v>
      </c>
      <c r="BM10" s="63" t="s">
        <v>1471</v>
      </c>
      <c r="BN10" s="54">
        <v>4000</v>
      </c>
      <c r="BO10" s="42" t="s">
        <v>1472</v>
      </c>
      <c r="BQ10" s="42" t="s">
        <v>1473</v>
      </c>
      <c r="BR10" s="42">
        <f>SUM(BR30:BR31)</f>
        <v>20</v>
      </c>
      <c r="BS10" s="63" t="s">
        <v>1471</v>
      </c>
      <c r="BT10" s="89">
        <v>66</v>
      </c>
      <c r="BU10" s="42" t="s">
        <v>1472</v>
      </c>
      <c r="BW10" s="42" t="s">
        <v>1473</v>
      </c>
      <c r="BX10" s="42">
        <f>SUM(BX30:BX32)</f>
        <v>44.8</v>
      </c>
      <c r="BY10" s="67" t="s">
        <v>1474</v>
      </c>
      <c r="BZ10" s="55"/>
      <c r="CC10" s="42" t="s">
        <v>1473</v>
      </c>
      <c r="CD10" s="42">
        <f>SUM(CD30:CD33)</f>
        <v>295.55</v>
      </c>
      <c r="CE10" s="67" t="s">
        <v>1475</v>
      </c>
      <c r="CF10" s="55"/>
      <c r="CG10" s="42" t="s">
        <v>1472</v>
      </c>
      <c r="CI10" s="42" t="s">
        <v>1473</v>
      </c>
      <c r="CJ10" s="42">
        <f>SUM(CJ30:CJ33)</f>
        <v>96.6</v>
      </c>
      <c r="CK10" s="47" t="s">
        <v>1469</v>
      </c>
      <c r="CL10" s="55">
        <v>1003</v>
      </c>
      <c r="CM10" s="42" t="s">
        <v>1472</v>
      </c>
      <c r="CO10" s="42" t="s">
        <v>1473</v>
      </c>
      <c r="CP10" s="42">
        <f>SUM(CP28:CP30)</f>
        <v>136</v>
      </c>
      <c r="CQ10" s="63" t="s">
        <v>1407</v>
      </c>
      <c r="CR10" s="54">
        <v>12000</v>
      </c>
      <c r="CS10" s="42" t="s">
        <v>1472</v>
      </c>
      <c r="CU10" s="42" t="s">
        <v>1473</v>
      </c>
      <c r="CV10" s="42">
        <f>SUM(CV26:CV31)</f>
        <v>276.49</v>
      </c>
      <c r="CW10" s="47" t="s">
        <v>1476</v>
      </c>
      <c r="CX10" s="55">
        <v>10</v>
      </c>
      <c r="CY10" s="42" t="s">
        <v>1472</v>
      </c>
      <c r="DA10" s="116" t="s">
        <v>1473</v>
      </c>
      <c r="DB10" s="42">
        <f>SUM(DB25:DB30)</f>
        <v>661.82</v>
      </c>
      <c r="DC10" s="63" t="s">
        <v>1221</v>
      </c>
      <c r="DD10" s="115">
        <v>5000</v>
      </c>
      <c r="DG10" s="116" t="s">
        <v>1473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1477</v>
      </c>
      <c r="DN10" s="44">
        <f>SUM(DN31:DN35)</f>
        <v>77.37</v>
      </c>
      <c r="DO10" s="22" t="s">
        <v>1478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1352</v>
      </c>
      <c r="DY10" s="145" t="s">
        <v>1479</v>
      </c>
      <c r="DZ10" s="15">
        <f>SUM(DZ23:DZ24)</f>
        <v>45.1</v>
      </c>
      <c r="EA10" s="22" t="s">
        <v>1480</v>
      </c>
      <c r="EB10" s="22">
        <v>1E-3</v>
      </c>
      <c r="EC10" s="15" t="s">
        <v>1481</v>
      </c>
      <c r="ED10" s="15">
        <v>1.1000000000000001</v>
      </c>
      <c r="EE10" s="145" t="s">
        <v>1479</v>
      </c>
      <c r="EF10" s="15">
        <f>SUM(EF22:EF22)</f>
        <v>10</v>
      </c>
      <c r="EH10" s="15" t="s">
        <v>1482</v>
      </c>
      <c r="EI10" s="43">
        <v>-20000</v>
      </c>
      <c r="EJ10" s="569" t="s">
        <v>1222</v>
      </c>
      <c r="EL10" s="154" t="s">
        <v>1483</v>
      </c>
      <c r="EM10" s="15">
        <f>SUM(EM24:EM27)</f>
        <v>151.75</v>
      </c>
      <c r="EN10" s="15" t="s">
        <v>1482</v>
      </c>
      <c r="EO10" s="43">
        <v>-20000</v>
      </c>
      <c r="EP10" s="15" t="s">
        <v>1484</v>
      </c>
      <c r="EQ10" s="15">
        <v>12.26</v>
      </c>
      <c r="ER10" s="152" t="s">
        <v>1277</v>
      </c>
      <c r="ES10" s="15">
        <f>SUM(ES13:ES13)</f>
        <v>0</v>
      </c>
      <c r="ET10" s="15" t="s">
        <v>1482</v>
      </c>
      <c r="EU10" s="43">
        <v>-20000</v>
      </c>
      <c r="EX10" s="152" t="s">
        <v>1277</v>
      </c>
      <c r="EY10" s="15">
        <f>SUM(EY13:EY13)</f>
        <v>0</v>
      </c>
      <c r="EZ10" s="15" t="s">
        <v>1482</v>
      </c>
      <c r="FA10" s="43">
        <v>-20000</v>
      </c>
      <c r="FB10" s="15" t="s">
        <v>1485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1482</v>
      </c>
      <c r="FG10" s="43">
        <v>-20000</v>
      </c>
      <c r="FH10" s="15" t="s">
        <v>1352</v>
      </c>
      <c r="FJ10" s="152" t="s">
        <v>1277</v>
      </c>
      <c r="FK10" s="15">
        <f>SUM(FK12:FK12)</f>
        <v>288.75</v>
      </c>
      <c r="FL10" s="47" t="s">
        <v>1412</v>
      </c>
      <c r="FM10" s="15">
        <v>80</v>
      </c>
      <c r="FN10" s="15" t="s">
        <v>1281</v>
      </c>
      <c r="FO10" s="15">
        <f>51.7+4.8+1.85</f>
        <v>58.35</v>
      </c>
      <c r="FP10" s="153" t="s">
        <v>1346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1346</v>
      </c>
      <c r="FW10" s="15">
        <f>SUM(FW17:FW17)</f>
        <v>29.62</v>
      </c>
      <c r="FX10" s="59" t="s">
        <v>1486</v>
      </c>
      <c r="FY10" s="15">
        <v>2498</v>
      </c>
      <c r="FZ10" s="156" t="s">
        <v>1487</v>
      </c>
      <c r="GA10" s="15">
        <v>100</v>
      </c>
      <c r="GB10" s="154" t="s">
        <v>1347</v>
      </c>
      <c r="GC10" s="15">
        <f>SUM(GC28:GC32)</f>
        <v>183.9</v>
      </c>
      <c r="GD10" s="59" t="s">
        <v>1486</v>
      </c>
      <c r="GE10" s="15">
        <v>2498</v>
      </c>
      <c r="GF10" s="15" t="s">
        <v>1488</v>
      </c>
      <c r="GG10" s="15">
        <v>110</v>
      </c>
      <c r="GH10" s="154" t="s">
        <v>1347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1347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1347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1489</v>
      </c>
      <c r="GY10" s="15">
        <v>50</v>
      </c>
      <c r="GZ10" s="153" t="s">
        <v>1346</v>
      </c>
      <c r="HA10" s="15">
        <f>SUM(HA15:HA17)</f>
        <v>2381.65</v>
      </c>
      <c r="HB10" s="59" t="s">
        <v>1198</v>
      </c>
      <c r="HC10" s="165">
        <v>30</v>
      </c>
      <c r="HF10" s="154" t="s">
        <v>1347</v>
      </c>
      <c r="HG10" s="15">
        <f>SUM(HG28:HG29)</f>
        <v>107.9</v>
      </c>
      <c r="HH10" s="47" t="s">
        <v>1156</v>
      </c>
      <c r="HI10" s="185">
        <v>0.06</v>
      </c>
      <c r="HJ10" s="15" t="s">
        <v>1490</v>
      </c>
      <c r="HK10" s="41">
        <v>13</v>
      </c>
      <c r="HL10" s="162" t="s">
        <v>1491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1492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1490</v>
      </c>
      <c r="IC10" s="211">
        <v>13.54</v>
      </c>
      <c r="ID10" s="70" t="s">
        <v>1493</v>
      </c>
      <c r="IE10" s="43">
        <f>11000+300</f>
        <v>11300</v>
      </c>
      <c r="IF10" s="61" t="s">
        <v>1154</v>
      </c>
      <c r="IG10" s="43">
        <v>1463</v>
      </c>
      <c r="IH10" s="15" t="s">
        <v>1494</v>
      </c>
      <c r="II10" s="15">
        <v>10</v>
      </c>
      <c r="IJ10" s="171" t="s">
        <v>1495</v>
      </c>
      <c r="IK10" s="158">
        <v>3179</v>
      </c>
      <c r="IL10" s="59" t="s">
        <v>1294</v>
      </c>
      <c r="IM10" s="165">
        <v>35</v>
      </c>
      <c r="IN10" s="42" t="s">
        <v>1496</v>
      </c>
      <c r="IO10" s="15">
        <v>46.26</v>
      </c>
      <c r="IP10" s="155" t="s">
        <v>1497</v>
      </c>
      <c r="IQ10" s="99">
        <v>210.89</v>
      </c>
      <c r="IR10" s="59" t="s">
        <v>1227</v>
      </c>
      <c r="IS10" s="232">
        <v>2500</v>
      </c>
      <c r="IT10" s="15" t="s">
        <v>1297</v>
      </c>
      <c r="IU10" s="211"/>
      <c r="IV10" s="171" t="s">
        <v>1498</v>
      </c>
      <c r="IW10" s="241">
        <v>2000</v>
      </c>
      <c r="IX10" s="15" t="s">
        <v>1237</v>
      </c>
      <c r="IY10" s="43">
        <v>360000</v>
      </c>
      <c r="JA10" s="211"/>
      <c r="JB10" s="171" t="s">
        <v>1499</v>
      </c>
      <c r="JC10" s="241">
        <v>454.04</v>
      </c>
      <c r="JD10" s="15" t="s">
        <v>1237</v>
      </c>
      <c r="JE10" s="43">
        <v>590000</v>
      </c>
      <c r="JH10" s="155" t="s">
        <v>1291</v>
      </c>
      <c r="JI10" s="41">
        <v>58.77</v>
      </c>
      <c r="JJ10" s="15" t="s">
        <v>1237</v>
      </c>
      <c r="JK10" s="165">
        <v>0</v>
      </c>
      <c r="JL10" s="15" t="s">
        <v>1500</v>
      </c>
      <c r="JM10" s="233"/>
      <c r="JN10" s="155" t="s">
        <v>1501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1502</v>
      </c>
      <c r="JS10" s="15">
        <v>3.4</v>
      </c>
      <c r="JT10" s="155" t="s">
        <v>1503</v>
      </c>
      <c r="JU10" s="99">
        <v>5.38</v>
      </c>
      <c r="JV10" s="47" t="s">
        <v>1124</v>
      </c>
      <c r="JW10" s="92">
        <v>-123</v>
      </c>
      <c r="JX10" s="15" t="s">
        <v>1504</v>
      </c>
      <c r="JY10" s="233"/>
      <c r="JZ10" s="247" t="s">
        <v>1505</v>
      </c>
      <c r="KA10" s="41">
        <f>27+270.45+2700</f>
        <v>2997.45</v>
      </c>
      <c r="KB10" s="59" t="s">
        <v>1506</v>
      </c>
      <c r="KC10" s="165">
        <v>-166</v>
      </c>
      <c r="KE10" s="226"/>
      <c r="KF10" s="70" t="s">
        <v>1507</v>
      </c>
      <c r="KG10" s="211">
        <v>193.39</v>
      </c>
      <c r="KH10" s="15" t="s">
        <v>1508</v>
      </c>
      <c r="KI10" s="211"/>
      <c r="KK10" s="211"/>
      <c r="KL10" s="84" t="s">
        <v>1509</v>
      </c>
      <c r="KM10" s="15">
        <f>82.58+102.97</f>
        <v>185.55</v>
      </c>
      <c r="KN10" s="15" t="s">
        <v>1305</v>
      </c>
      <c r="KO10" s="43">
        <v>-70600</v>
      </c>
      <c r="KP10" s="59" t="s">
        <v>1510</v>
      </c>
      <c r="KQ10" s="38">
        <v>35.14</v>
      </c>
      <c r="KR10" s="155" t="s">
        <v>1511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1512</v>
      </c>
      <c r="KY10" s="15">
        <f>11+4</f>
        <v>15</v>
      </c>
      <c r="KZ10" s="47" t="s">
        <v>1447</v>
      </c>
      <c r="LA10" s="92">
        <v>-82000</v>
      </c>
      <c r="LB10" s="59" t="s">
        <v>1513</v>
      </c>
      <c r="LC10" s="38">
        <v>26.18</v>
      </c>
      <c r="LD10" s="284" t="s">
        <v>1365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1514</v>
      </c>
      <c r="LK10" s="298">
        <v>30</v>
      </c>
      <c r="LL10" s="61" t="s">
        <v>1247</v>
      </c>
      <c r="LM10" s="43">
        <v>-4000</v>
      </c>
      <c r="LN10" s="59" t="s">
        <v>1515</v>
      </c>
      <c r="LO10" s="303">
        <v>10967.27</v>
      </c>
      <c r="LP10" s="176" t="s">
        <v>1516</v>
      </c>
      <c r="LQ10" s="41">
        <v>1000.01</v>
      </c>
      <c r="LR10" s="61" t="s">
        <v>1247</v>
      </c>
      <c r="LS10" s="43">
        <v>-4000</v>
      </c>
      <c r="LT10" s="59" t="s">
        <v>1517</v>
      </c>
      <c r="LU10" s="38">
        <v>8.25</v>
      </c>
      <c r="LV10" s="176" t="s">
        <v>1518</v>
      </c>
      <c r="LW10" s="41">
        <v>2000.03</v>
      </c>
      <c r="LX10" s="47" t="s">
        <v>1519</v>
      </c>
      <c r="LY10" s="92">
        <v>-87000</v>
      </c>
      <c r="LZ10" s="59" t="s">
        <v>1520</v>
      </c>
      <c r="MA10" s="38">
        <v>27.33</v>
      </c>
      <c r="MB10" s="145" t="s">
        <v>1521</v>
      </c>
      <c r="MC10" s="41">
        <v>30</v>
      </c>
      <c r="MD10" s="15" t="s">
        <v>1317</v>
      </c>
      <c r="ME10" s="43">
        <v>-67376</v>
      </c>
      <c r="MF10" s="59" t="s">
        <v>1522</v>
      </c>
      <c r="MG10" s="41">
        <v>-460</v>
      </c>
      <c r="MH10" s="112" t="s">
        <v>1523</v>
      </c>
      <c r="MI10" s="41">
        <v>1500</v>
      </c>
      <c r="MJ10" s="61" t="s">
        <v>1382</v>
      </c>
      <c r="MK10" s="232">
        <v>150000</v>
      </c>
      <c r="ML10" s="59" t="s">
        <v>1524</v>
      </c>
      <c r="MM10" s="38" t="s">
        <v>646</v>
      </c>
      <c r="MN10" s="155" t="s">
        <v>1318</v>
      </c>
      <c r="MO10" s="41">
        <v>500</v>
      </c>
      <c r="MP10" s="61" t="s">
        <v>1382</v>
      </c>
      <c r="MQ10" s="232">
        <v>150000</v>
      </c>
      <c r="MR10" s="15" t="s">
        <v>1308</v>
      </c>
      <c r="MS10" s="38"/>
      <c r="MT10" s="155" t="s">
        <v>1525</v>
      </c>
      <c r="MU10" s="55">
        <v>736.62</v>
      </c>
      <c r="MV10" s="61" t="s">
        <v>1526</v>
      </c>
      <c r="MW10" s="43">
        <f>10000+20000</f>
        <v>30000</v>
      </c>
      <c r="MX10" s="15" t="s">
        <v>1308</v>
      </c>
      <c r="MY10" s="38"/>
      <c r="MZ10" s="145" t="s">
        <v>1527</v>
      </c>
      <c r="NA10" s="41">
        <v>39.6</v>
      </c>
      <c r="NB10" s="61" t="s">
        <v>1247</v>
      </c>
      <c r="NC10" s="43">
        <v>-4000</v>
      </c>
      <c r="ND10" s="15" t="s">
        <v>1528</v>
      </c>
      <c r="NE10" s="117">
        <f>1820*3</f>
        <v>5460</v>
      </c>
      <c r="NF10" s="145" t="s">
        <v>1529</v>
      </c>
      <c r="NG10" s="41">
        <v>200</v>
      </c>
      <c r="NH10" s="61" t="s">
        <v>1530</v>
      </c>
      <c r="NI10" s="43">
        <v>30000</v>
      </c>
      <c r="NJ10" s="59" t="s">
        <v>1531</v>
      </c>
      <c r="NK10" s="38">
        <v>34.06</v>
      </c>
      <c r="NL10" s="145" t="s">
        <v>1532</v>
      </c>
      <c r="NM10" s="55">
        <v>35.799999999999997</v>
      </c>
      <c r="NN10" s="61" t="s">
        <v>1247</v>
      </c>
      <c r="NO10" s="43">
        <v>-3000</v>
      </c>
      <c r="NP10" s="15" t="s">
        <v>1394</v>
      </c>
      <c r="NQ10" s="38"/>
      <c r="NR10" s="15" t="s">
        <v>1533</v>
      </c>
      <c r="NS10" s="15">
        <v>293.85000000000002</v>
      </c>
      <c r="NT10" s="89" t="s">
        <v>1534</v>
      </c>
      <c r="NU10" s="92">
        <v>1000</v>
      </c>
      <c r="NV10" s="59"/>
      <c r="NX10" s="325" t="s">
        <v>1535</v>
      </c>
      <c r="NY10" s="41">
        <v>5</v>
      </c>
      <c r="NZ10" s="61" t="s">
        <v>1536</v>
      </c>
      <c r="OA10" s="43">
        <v>101706</v>
      </c>
      <c r="OB10" s="59"/>
      <c r="OD10" s="155" t="s">
        <v>1537</v>
      </c>
      <c r="OE10" s="41">
        <v>60774.55</v>
      </c>
      <c r="OF10" s="89" t="s">
        <v>1398</v>
      </c>
      <c r="OG10" s="92">
        <v>992</v>
      </c>
      <c r="OH10" s="589" t="s">
        <v>3792</v>
      </c>
      <c r="OI10" s="117">
        <v>1260</v>
      </c>
      <c r="OJ10" s="155" t="s">
        <v>3794</v>
      </c>
      <c r="OK10" s="41">
        <v>408.26</v>
      </c>
      <c r="OL10" s="89" t="s">
        <v>1398</v>
      </c>
      <c r="OM10" s="92">
        <v>2857</v>
      </c>
      <c r="ON10" s="341">
        <v>45691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1341</v>
      </c>
      <c r="P11" s="15">
        <v>58</v>
      </c>
      <c r="Q11" s="15" t="s">
        <v>1468</v>
      </c>
      <c r="R11" s="15">
        <v>0</v>
      </c>
      <c r="S11" s="22" t="s">
        <v>218</v>
      </c>
      <c r="T11" s="53"/>
      <c r="U11" s="15" t="s">
        <v>1341</v>
      </c>
      <c r="V11" s="15">
        <v>67</v>
      </c>
      <c r="W11" s="15" t="s">
        <v>1470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1341</v>
      </c>
      <c r="AH11" s="15">
        <v>0</v>
      </c>
      <c r="AK11" s="63" t="s">
        <v>1543</v>
      </c>
      <c r="AL11" s="55">
        <v>-5000</v>
      </c>
      <c r="AM11" s="15" t="s">
        <v>1276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1469</v>
      </c>
      <c r="BZ11" s="55">
        <f>1003</f>
        <v>1003</v>
      </c>
      <c r="CA11" s="42" t="s">
        <v>1472</v>
      </c>
      <c r="CE11" s="47" t="s">
        <v>1469</v>
      </c>
      <c r="CF11" s="55">
        <v>1003</v>
      </c>
      <c r="CG11" s="55" t="s">
        <v>1549</v>
      </c>
      <c r="CH11" s="42">
        <v>65</v>
      </c>
      <c r="CK11" s="22" t="s">
        <v>1280</v>
      </c>
      <c r="CL11" s="53"/>
      <c r="CM11" s="55" t="s">
        <v>1549</v>
      </c>
      <c r="CN11" s="42">
        <v>69.959999999999994</v>
      </c>
      <c r="CQ11" s="47" t="s">
        <v>1469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1476</v>
      </c>
      <c r="DD11" s="55">
        <v>10</v>
      </c>
      <c r="DE11" s="42" t="s">
        <v>1472</v>
      </c>
      <c r="DI11" s="47" t="s">
        <v>1476</v>
      </c>
      <c r="DJ11" s="55" t="s">
        <v>694</v>
      </c>
      <c r="DK11" s="42" t="s">
        <v>1472</v>
      </c>
      <c r="DO11" s="22" t="s">
        <v>199</v>
      </c>
      <c r="DP11" s="53">
        <v>0</v>
      </c>
      <c r="DQ11" s="42" t="s">
        <v>1472</v>
      </c>
      <c r="DS11" s="116" t="s">
        <v>1479</v>
      </c>
      <c r="DT11" s="44">
        <f>SUM(DT28:DT35)</f>
        <v>361.23</v>
      </c>
      <c r="DU11" s="22" t="s">
        <v>1480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1338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1281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1490</v>
      </c>
      <c r="FI11" s="15">
        <v>13.33</v>
      </c>
      <c r="FJ11" s="161" t="s">
        <v>1232</v>
      </c>
      <c r="FK11" s="15">
        <v>1800.11</v>
      </c>
      <c r="FL11" s="15" t="s">
        <v>1482</v>
      </c>
      <c r="FM11" s="43">
        <v>-20000</v>
      </c>
      <c r="FP11" s="152" t="s">
        <v>1277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1346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1346</v>
      </c>
      <c r="GI11" s="15">
        <f>SUM(GI18:GI18)</f>
        <v>3.87</v>
      </c>
      <c r="GJ11" s="59" t="s">
        <v>1486</v>
      </c>
      <c r="GK11" s="15">
        <v>2499</v>
      </c>
      <c r="GL11" s="569" t="s">
        <v>1222</v>
      </c>
      <c r="GN11" s="153" t="s">
        <v>1346</v>
      </c>
      <c r="GO11" s="15">
        <f>SUM(GO17:GO19)</f>
        <v>1950.63</v>
      </c>
      <c r="GP11" s="59" t="s">
        <v>1486</v>
      </c>
      <c r="GQ11" s="15">
        <v>2499</v>
      </c>
      <c r="GR11" s="15" t="s">
        <v>1557</v>
      </c>
      <c r="GS11" s="15">
        <v>260</v>
      </c>
      <c r="GT11" s="153" t="s">
        <v>1346</v>
      </c>
      <c r="GU11" s="15" t="s">
        <v>646</v>
      </c>
      <c r="GV11" s="59" t="s">
        <v>1486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1346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1352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1365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1501</v>
      </c>
      <c r="JC11" s="41">
        <f>259.2+410.4</f>
        <v>669.59999999999991</v>
      </c>
      <c r="JD11" s="47" t="s">
        <v>1299</v>
      </c>
      <c r="JE11" s="185">
        <v>0</v>
      </c>
      <c r="JF11" s="15" t="s">
        <v>1500</v>
      </c>
      <c r="JG11" s="233"/>
      <c r="JH11" s="155" t="s">
        <v>1569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1504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1504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1305</v>
      </c>
      <c r="KU11" s="43">
        <v>-70600</v>
      </c>
      <c r="KV11" s="59" t="s">
        <v>1580</v>
      </c>
      <c r="KW11" s="38">
        <v>288</v>
      </c>
      <c r="KX11" s="155" t="s">
        <v>1514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1401</v>
      </c>
      <c r="LG11" s="43">
        <v>0</v>
      </c>
      <c r="LH11" s="15" t="s">
        <v>1308</v>
      </c>
      <c r="LI11" s="211"/>
      <c r="LJ11" s="155" t="s">
        <v>1583</v>
      </c>
      <c r="LK11" s="298">
        <f>517.75+263.25</f>
        <v>781</v>
      </c>
      <c r="LL11" s="61" t="s">
        <v>1401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1524</v>
      </c>
      <c r="LU11" s="38">
        <v>0.8</v>
      </c>
      <c r="LV11" s="293" t="s">
        <v>1586</v>
      </c>
      <c r="LW11" s="41">
        <v>330.77</v>
      </c>
      <c r="LX11" s="61" t="s">
        <v>1401</v>
      </c>
      <c r="LY11" s="43">
        <v>0</v>
      </c>
      <c r="LZ11" s="59" t="s">
        <v>1524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1380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1386</v>
      </c>
      <c r="MS11" s="38">
        <v>62.000999999999998</v>
      </c>
      <c r="MT11" s="155" t="s">
        <v>1539</v>
      </c>
      <c r="MU11" s="41">
        <v>8000</v>
      </c>
      <c r="MV11" s="61" t="s">
        <v>1590</v>
      </c>
      <c r="MW11" s="43">
        <v>30000</v>
      </c>
      <c r="MX11" s="15" t="s">
        <v>1386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1532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1386</v>
      </c>
      <c r="NQ11" s="38">
        <f>55.85+2.07</f>
        <v>57.92</v>
      </c>
      <c r="NR11" s="145" t="s">
        <v>1459</v>
      </c>
      <c r="NS11" s="41">
        <v>60.83</v>
      </c>
      <c r="NT11" s="61" t="s">
        <v>1336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1401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15" t="s">
        <v>1265</v>
      </c>
      <c r="OJ11" s="155" t="s">
        <v>1539</v>
      </c>
      <c r="OK11" s="41">
        <v>8000</v>
      </c>
      <c r="OL11" s="67" t="s">
        <v>1597</v>
      </c>
      <c r="OM11" s="243"/>
      <c r="ON11" s="341"/>
    </row>
    <row r="12" spans="1:405">
      <c r="A12" s="47" t="s">
        <v>1469</v>
      </c>
      <c r="B12" s="54">
        <v>1001</v>
      </c>
      <c r="E12" s="51"/>
      <c r="F12" s="51"/>
      <c r="G12" s="47" t="s">
        <v>1469</v>
      </c>
      <c r="H12" s="55">
        <v>1001</v>
      </c>
      <c r="M12" s="22" t="s">
        <v>1344</v>
      </c>
      <c r="N12" s="53">
        <v>-1030</v>
      </c>
      <c r="Q12" s="15" t="s">
        <v>1541</v>
      </c>
      <c r="R12" s="15">
        <f>SUM(R38:R39)</f>
        <v>800</v>
      </c>
      <c r="S12" s="22" t="s">
        <v>1344</v>
      </c>
      <c r="T12" s="53">
        <v>-960</v>
      </c>
      <c r="Y12" s="22" t="s">
        <v>1344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1469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1469</v>
      </c>
      <c r="AL12" s="55">
        <v>1002</v>
      </c>
      <c r="AM12" s="15" t="s">
        <v>1341</v>
      </c>
      <c r="AN12" s="15">
        <v>81</v>
      </c>
      <c r="AO12" s="69" t="s">
        <v>1602</v>
      </c>
      <c r="AP12" s="15">
        <v>2400</v>
      </c>
      <c r="AQ12" s="47" t="s">
        <v>1469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1469</v>
      </c>
      <c r="AX12" s="55">
        <v>1002</v>
      </c>
      <c r="AY12" s="69"/>
      <c r="BA12" s="47" t="s">
        <v>1469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1469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1469</v>
      </c>
      <c r="BN12" s="55">
        <v>1003</v>
      </c>
      <c r="BQ12" s="84" t="s">
        <v>1605</v>
      </c>
      <c r="BR12" s="42">
        <v>1800.06</v>
      </c>
      <c r="BS12" s="47" t="s">
        <v>1469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1280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1280</v>
      </c>
      <c r="CF12" s="53"/>
      <c r="CG12" s="59"/>
      <c r="CH12" s="59"/>
      <c r="CI12" s="84" t="s">
        <v>1232</v>
      </c>
      <c r="CJ12" s="42">
        <v>1800.09</v>
      </c>
      <c r="CK12" s="22" t="s">
        <v>1344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1280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1280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1610</v>
      </c>
      <c r="DH12" s="55">
        <v>100</v>
      </c>
      <c r="DI12" s="22" t="s">
        <v>1280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1338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1282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1551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1352</v>
      </c>
      <c r="FP12" s="161" t="s">
        <v>1232</v>
      </c>
      <c r="FQ12" s="15">
        <v>1800.12</v>
      </c>
      <c r="FR12" s="15" t="s">
        <v>1620</v>
      </c>
      <c r="FS12" s="43"/>
      <c r="FT12" s="15" t="s">
        <v>1281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1352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1491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1490</v>
      </c>
      <c r="JM12" s="41">
        <v>13.11</v>
      </c>
      <c r="JN12" s="70" t="s">
        <v>1636</v>
      </c>
      <c r="JO12" s="211">
        <v>110000</v>
      </c>
      <c r="JP12" s="59" t="s">
        <v>1572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1490</v>
      </c>
      <c r="JY12" s="38" t="s">
        <v>646</v>
      </c>
      <c r="JZ12" s="155" t="s">
        <v>1640</v>
      </c>
      <c r="KA12" s="15">
        <v>29.9</v>
      </c>
      <c r="KB12" s="59" t="s">
        <v>1572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1375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1534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1336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1336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1401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1308</v>
      </c>
      <c r="MG12" s="38"/>
      <c r="MH12" s="155" t="s">
        <v>1381</v>
      </c>
      <c r="MI12" s="54">
        <v>138.54</v>
      </c>
      <c r="MJ12" s="15" t="s">
        <v>1317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1456</v>
      </c>
      <c r="MY12" s="38" t="s">
        <v>646</v>
      </c>
      <c r="MZ12" s="145" t="s">
        <v>1656</v>
      </c>
      <c r="NA12" s="41">
        <f>5</f>
        <v>5</v>
      </c>
      <c r="NB12" s="61" t="s">
        <v>1530</v>
      </c>
      <c r="NC12" s="43">
        <v>30000</v>
      </c>
      <c r="ND12" s="15" t="s">
        <v>1308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1456</v>
      </c>
      <c r="NQ12" s="38">
        <v>4.8099999999999996</v>
      </c>
      <c r="NR12" s="145" t="s">
        <v>1666</v>
      </c>
      <c r="NS12" s="15">
        <v>81.849999999999994</v>
      </c>
      <c r="NT12" s="61" t="s">
        <v>1536</v>
      </c>
      <c r="NU12" s="43">
        <v>101321</v>
      </c>
      <c r="NV12" s="59" t="s">
        <v>1538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15" t="s">
        <v>1538</v>
      </c>
      <c r="OI12" s="41">
        <v>1840</v>
      </c>
      <c r="OJ12" s="15" t="s">
        <v>1599</v>
      </c>
      <c r="OK12" s="41">
        <v>592.6</v>
      </c>
      <c r="OL12" s="47" t="s">
        <v>1670</v>
      </c>
      <c r="OM12" s="92">
        <v>-1552</v>
      </c>
      <c r="ON12" s="341">
        <v>45705</v>
      </c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1601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1472</v>
      </c>
      <c r="AO13" s="69" t="s">
        <v>1676</v>
      </c>
      <c r="AP13" s="15">
        <f>1800-700</f>
        <v>1100</v>
      </c>
      <c r="AQ13" s="22" t="s">
        <v>1280</v>
      </c>
      <c r="AR13" s="53"/>
      <c r="AU13" s="69" t="s">
        <v>1677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1677</v>
      </c>
      <c r="BG13" s="22" t="s">
        <v>1280</v>
      </c>
      <c r="BH13" s="79"/>
      <c r="BK13" s="84" t="s">
        <v>1678</v>
      </c>
      <c r="BL13" s="59">
        <v>100</v>
      </c>
      <c r="BM13" s="22" t="s">
        <v>1280</v>
      </c>
      <c r="BN13" s="79"/>
      <c r="BQ13" s="84" t="s">
        <v>1679</v>
      </c>
      <c r="BR13" s="59">
        <v>100</v>
      </c>
      <c r="BS13" s="22" t="s">
        <v>1280</v>
      </c>
      <c r="BT13" s="23"/>
      <c r="BW13" s="84" t="s">
        <v>1680</v>
      </c>
      <c r="BX13" s="59">
        <v>100</v>
      </c>
      <c r="BY13" s="22" t="s">
        <v>1344</v>
      </c>
      <c r="BZ13" s="53">
        <v>-1140</v>
      </c>
      <c r="CA13" s="55" t="s">
        <v>1681</v>
      </c>
      <c r="CB13" s="42">
        <v>8.2200000000000006</v>
      </c>
      <c r="CC13" s="84" t="s">
        <v>1609</v>
      </c>
      <c r="CD13" s="59">
        <v>100</v>
      </c>
      <c r="CE13" s="22" t="s">
        <v>1344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1609</v>
      </c>
      <c r="CP13" s="59">
        <v>100</v>
      </c>
      <c r="CQ13" s="22" t="s">
        <v>1344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1344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1280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1344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1338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1614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1352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1656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1293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1490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1352</v>
      </c>
      <c r="FV13" s="70" t="s">
        <v>1698</v>
      </c>
      <c r="FW13" s="15">
        <v>4000</v>
      </c>
      <c r="FX13" s="61" t="s">
        <v>1627</v>
      </c>
      <c r="FY13" s="15">
        <v>473</v>
      </c>
      <c r="FZ13" s="15" t="s">
        <v>1281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1352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1500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1639</v>
      </c>
      <c r="JQ13" s="43">
        <v>682</v>
      </c>
      <c r="JR13" s="15" t="s">
        <v>1500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1639</v>
      </c>
      <c r="KC13" s="43">
        <v>765</v>
      </c>
      <c r="KD13" s="15" t="s">
        <v>1723</v>
      </c>
      <c r="KE13" s="38">
        <v>46</v>
      </c>
      <c r="KF13" s="162" t="s">
        <v>1656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1358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1401</v>
      </c>
      <c r="LA13" s="43">
        <v>1</v>
      </c>
      <c r="LB13" s="279" t="s">
        <v>1728</v>
      </c>
      <c r="LC13" s="279"/>
      <c r="LD13" s="284" t="s">
        <v>1377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1657</v>
      </c>
      <c r="MA13" s="38"/>
      <c r="MB13" s="145" t="s">
        <v>1735</v>
      </c>
      <c r="MC13" s="41">
        <f>13.57+9+9</f>
        <v>31.57</v>
      </c>
      <c r="MD13" s="47" t="s">
        <v>1519</v>
      </c>
      <c r="ME13" s="92">
        <f>-87000</f>
        <v>-87000</v>
      </c>
      <c r="MF13" s="15" t="s">
        <v>1386</v>
      </c>
      <c r="MG13" s="38">
        <v>64</v>
      </c>
      <c r="MH13" s="155" t="s">
        <v>1452</v>
      </c>
      <c r="MI13" s="55">
        <v>191</v>
      </c>
      <c r="MJ13" s="15" t="s">
        <v>1380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1380</v>
      </c>
      <c r="MQ13" s="43">
        <v>-116600</v>
      </c>
      <c r="MR13" s="15" t="s">
        <v>1657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1524</v>
      </c>
      <c r="MY13" s="38">
        <v>2.0009999999999999</v>
      </c>
      <c r="MZ13" s="145" t="s">
        <v>1735</v>
      </c>
      <c r="NA13" s="41">
        <f>13.57+9+9</f>
        <v>31.57</v>
      </c>
      <c r="NB13" s="15" t="s">
        <v>1660</v>
      </c>
      <c r="NC13" s="165" t="s">
        <v>1740</v>
      </c>
      <c r="ND13" s="15" t="s">
        <v>1386</v>
      </c>
      <c r="NE13" s="38">
        <v>71.001000000000005</v>
      </c>
      <c r="NF13" s="145" t="s">
        <v>1656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1656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1532</v>
      </c>
      <c r="NS13" s="55">
        <v>71.599999999999994</v>
      </c>
      <c r="NT13" s="61" t="s">
        <v>1401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1598</v>
      </c>
      <c r="OI13" s="41">
        <v>1840</v>
      </c>
      <c r="OJ13" s="15" t="s">
        <v>1671</v>
      </c>
      <c r="OK13" s="41"/>
      <c r="OL13" s="322">
        <v>23.52</v>
      </c>
      <c r="OM13" s="92"/>
      <c r="ON13" s="341">
        <v>45705</v>
      </c>
      <c r="OO13" s="92"/>
    </row>
    <row r="14" spans="1:405">
      <c r="A14" s="22" t="s">
        <v>1344</v>
      </c>
      <c r="B14" s="53">
        <v>-1047</v>
      </c>
      <c r="E14" s="51" t="s">
        <v>1232</v>
      </c>
      <c r="F14" s="51">
        <f>2500*5</f>
        <v>12500</v>
      </c>
      <c r="G14" s="22" t="s">
        <v>1344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1749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1749</v>
      </c>
      <c r="V14" s="15">
        <v>0</v>
      </c>
      <c r="W14" s="69" t="s">
        <v>1750</v>
      </c>
      <c r="X14" s="15">
        <v>100</v>
      </c>
      <c r="Y14" s="22" t="s">
        <v>1751</v>
      </c>
      <c r="Z14" s="53">
        <v>110.001</v>
      </c>
      <c r="AA14" s="15" t="s">
        <v>1749</v>
      </c>
      <c r="AB14" s="15">
        <v>0</v>
      </c>
      <c r="AC14" s="64" t="s">
        <v>1752</v>
      </c>
      <c r="AD14" s="15">
        <v>0</v>
      </c>
      <c r="AE14" s="22" t="s">
        <v>1344</v>
      </c>
      <c r="AF14" s="53">
        <v>-1678.46</v>
      </c>
      <c r="AG14" s="15" t="s">
        <v>1753</v>
      </c>
      <c r="AI14" s="64" t="s">
        <v>1752</v>
      </c>
      <c r="AJ14" s="15">
        <v>0</v>
      </c>
      <c r="AK14" s="22" t="s">
        <v>1344</v>
      </c>
      <c r="AL14" s="53">
        <v>-2265</v>
      </c>
      <c r="AM14" s="15" t="s">
        <v>1754</v>
      </c>
      <c r="AN14" s="15">
        <v>17</v>
      </c>
      <c r="AO14" s="69" t="s">
        <v>1755</v>
      </c>
      <c r="AP14" s="15">
        <v>3300</v>
      </c>
      <c r="AQ14" s="22" t="s">
        <v>1344</v>
      </c>
      <c r="AR14" s="53">
        <v>-292</v>
      </c>
      <c r="AU14" s="69" t="s">
        <v>1756</v>
      </c>
      <c r="AV14" s="15">
        <v>200</v>
      </c>
      <c r="AW14" s="22" t="s">
        <v>1344</v>
      </c>
      <c r="AX14" s="53">
        <v>-1148</v>
      </c>
      <c r="AY14" s="69"/>
      <c r="BA14" s="22" t="s">
        <v>1344</v>
      </c>
      <c r="BB14" s="53">
        <f t="shared" si="0"/>
        <v>-1148</v>
      </c>
      <c r="BE14" s="69" t="s">
        <v>1757</v>
      </c>
      <c r="BF14" s="15" t="s">
        <v>646</v>
      </c>
      <c r="BG14" s="22" t="s">
        <v>1344</v>
      </c>
      <c r="BH14" s="15">
        <v>-1906</v>
      </c>
      <c r="BI14" s="42" t="s">
        <v>1753</v>
      </c>
      <c r="BJ14" s="59" t="s">
        <v>646</v>
      </c>
      <c r="BK14" s="84" t="s">
        <v>1677</v>
      </c>
      <c r="BL14" s="42" t="s">
        <v>646</v>
      </c>
      <c r="BM14" s="22" t="s">
        <v>1344</v>
      </c>
      <c r="BN14" s="22">
        <v>-1333</v>
      </c>
      <c r="BO14" s="42" t="s">
        <v>1753</v>
      </c>
      <c r="BP14" s="59" t="s">
        <v>646</v>
      </c>
      <c r="BQ14" s="84" t="s">
        <v>1677</v>
      </c>
      <c r="BR14" s="59" t="s">
        <v>646</v>
      </c>
      <c r="BS14" s="22" t="s">
        <v>1344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1758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1759</v>
      </c>
      <c r="CH14" s="59">
        <v>20.100000000000001</v>
      </c>
      <c r="CI14" s="84" t="s">
        <v>1760</v>
      </c>
      <c r="CJ14" s="59">
        <v>1000</v>
      </c>
      <c r="CK14" s="22" t="s">
        <v>1612</v>
      </c>
      <c r="CL14" s="53">
        <v>15.87</v>
      </c>
      <c r="CM14" s="55" t="s">
        <v>1761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1762</v>
      </c>
      <c r="CZ14" s="59"/>
      <c r="DA14" s="112" t="s">
        <v>1607</v>
      </c>
      <c r="DB14" s="42">
        <v>1800.12</v>
      </c>
      <c r="DC14" s="22" t="s">
        <v>1344</v>
      </c>
      <c r="DD14" s="53">
        <v>-2258</v>
      </c>
      <c r="DE14" s="55" t="s">
        <v>1763</v>
      </c>
      <c r="DF14" s="59">
        <v>11.94</v>
      </c>
      <c r="DG14" s="112" t="s">
        <v>1764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1765</v>
      </c>
      <c r="DN14" s="55">
        <v>2700</v>
      </c>
      <c r="DO14" s="649" t="s">
        <v>1766</v>
      </c>
      <c r="DP14" s="650"/>
      <c r="DQ14" s="55" t="s">
        <v>1767</v>
      </c>
      <c r="DR14" s="59">
        <v>128.4</v>
      </c>
      <c r="DS14" s="112" t="s">
        <v>1551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1768</v>
      </c>
      <c r="EI14" s="92">
        <v>10000</v>
      </c>
      <c r="EL14" s="152" t="s">
        <v>1618</v>
      </c>
      <c r="EM14" s="15">
        <v>1476</v>
      </c>
      <c r="EN14" s="47" t="s">
        <v>1769</v>
      </c>
      <c r="EO14" s="92">
        <f>5000+5000</f>
        <v>10000</v>
      </c>
      <c r="ER14" s="155" t="s">
        <v>1770</v>
      </c>
      <c r="ES14" s="15">
        <v>10</v>
      </c>
      <c r="ET14" s="59" t="s">
        <v>1771</v>
      </c>
      <c r="EU14" s="89">
        <v>1000</v>
      </c>
      <c r="EV14" s="15" t="s">
        <v>1772</v>
      </c>
      <c r="EW14" s="15">
        <v>104</v>
      </c>
      <c r="EX14" s="155" t="s">
        <v>1773</v>
      </c>
      <c r="EY14" s="147">
        <v>481.5</v>
      </c>
      <c r="EZ14" s="59" t="s">
        <v>1771</v>
      </c>
      <c r="FA14" s="89">
        <v>1000</v>
      </c>
      <c r="FB14" s="15" t="s">
        <v>1774</v>
      </c>
      <c r="FC14" s="15">
        <v>31.1</v>
      </c>
      <c r="FD14" s="155" t="s">
        <v>1775</v>
      </c>
      <c r="FE14" s="15">
        <v>11.25</v>
      </c>
      <c r="FF14" s="59" t="s">
        <v>1771</v>
      </c>
      <c r="FG14" s="89">
        <v>1000</v>
      </c>
      <c r="FH14" s="569" t="s">
        <v>1776</v>
      </c>
      <c r="FJ14" s="155" t="s">
        <v>1722</v>
      </c>
      <c r="FK14" s="147">
        <v>35.32</v>
      </c>
      <c r="FL14" s="47" t="s">
        <v>1614</v>
      </c>
      <c r="FM14" s="92">
        <v>478</v>
      </c>
      <c r="FP14" s="70" t="s">
        <v>1318</v>
      </c>
      <c r="FQ14" s="15">
        <v>10000</v>
      </c>
      <c r="FR14" s="75" t="s">
        <v>1777</v>
      </c>
      <c r="FS14" s="75"/>
      <c r="FT14" s="67" t="s">
        <v>148</v>
      </c>
      <c r="FU14" s="15">
        <v>67</v>
      </c>
      <c r="FV14" s="70" t="s">
        <v>1778</v>
      </c>
      <c r="FW14" s="15">
        <f>10000+20000+30000</f>
        <v>60000</v>
      </c>
      <c r="FX14" s="61" t="s">
        <v>1707</v>
      </c>
      <c r="FY14" s="15">
        <v>1218</v>
      </c>
      <c r="GB14" s="161" t="s">
        <v>1779</v>
      </c>
      <c r="GC14" s="15">
        <v>1000</v>
      </c>
      <c r="GD14" s="61" t="s">
        <v>1707</v>
      </c>
      <c r="GE14" s="15">
        <v>1258</v>
      </c>
      <c r="GF14" s="15" t="s">
        <v>1281</v>
      </c>
      <c r="GG14" s="15">
        <v>43</v>
      </c>
      <c r="GH14" s="161" t="s">
        <v>1780</v>
      </c>
      <c r="GI14" s="15">
        <v>2000</v>
      </c>
      <c r="GJ14" s="61" t="s">
        <v>1627</v>
      </c>
      <c r="GK14" s="15">
        <v>567</v>
      </c>
      <c r="GL14" s="15" t="s">
        <v>1352</v>
      </c>
      <c r="GN14" s="70" t="s">
        <v>1653</v>
      </c>
      <c r="GP14" s="61" t="s">
        <v>1627</v>
      </c>
      <c r="GQ14" s="15">
        <v>642</v>
      </c>
      <c r="GR14" s="15" t="s">
        <v>1281</v>
      </c>
      <c r="GS14" s="15">
        <v>50</v>
      </c>
      <c r="GT14" s="161" t="s">
        <v>1781</v>
      </c>
      <c r="GU14" s="15">
        <v>1000.05</v>
      </c>
      <c r="GV14" s="61" t="s">
        <v>1627</v>
      </c>
      <c r="GW14" s="15">
        <v>21</v>
      </c>
      <c r="GX14" s="15" t="s">
        <v>1782</v>
      </c>
      <c r="GY14" s="15">
        <v>40</v>
      </c>
      <c r="GZ14" s="171" t="s">
        <v>1365</v>
      </c>
      <c r="HA14" s="15">
        <v>1476</v>
      </c>
      <c r="HB14" s="61" t="s">
        <v>1154</v>
      </c>
      <c r="HC14" s="15">
        <v>2184</v>
      </c>
      <c r="HD14" s="67" t="s">
        <v>1783</v>
      </c>
      <c r="HE14" s="15">
        <v>90</v>
      </c>
      <c r="HF14" s="70" t="s">
        <v>1318</v>
      </c>
      <c r="HG14" s="15">
        <v>1000</v>
      </c>
      <c r="HH14" s="61" t="s">
        <v>1627</v>
      </c>
      <c r="HI14" s="15">
        <v>3063</v>
      </c>
      <c r="HJ14" s="652" t="s">
        <v>1784</v>
      </c>
      <c r="HK14" s="652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1785</v>
      </c>
      <c r="HY14" s="43">
        <f>-IA6</f>
        <v>0</v>
      </c>
      <c r="HZ14" s="61" t="s">
        <v>1154</v>
      </c>
      <c r="IA14" s="15">
        <v>2028</v>
      </c>
      <c r="IB14" s="15" t="s">
        <v>1786</v>
      </c>
      <c r="IC14" s="211">
        <v>13.56</v>
      </c>
      <c r="ID14" s="213" t="s">
        <v>1787</v>
      </c>
      <c r="IE14" s="92">
        <v>2000</v>
      </c>
      <c r="IF14" s="61" t="s">
        <v>1788</v>
      </c>
      <c r="IG14" s="43">
        <v>1000</v>
      </c>
      <c r="II14" s="233"/>
      <c r="IJ14" s="70" t="s">
        <v>1421</v>
      </c>
      <c r="IK14" s="15">
        <v>100</v>
      </c>
      <c r="IL14" s="61" t="s">
        <v>1789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1790</v>
      </c>
      <c r="IS14" s="43" t="s">
        <v>1791</v>
      </c>
      <c r="IT14" s="15" t="s">
        <v>1500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1500</v>
      </c>
      <c r="JA14" s="233"/>
      <c r="JB14" s="70" t="s">
        <v>1792</v>
      </c>
      <c r="JC14" s="233">
        <v>26.001000000000001</v>
      </c>
      <c r="JD14" s="61" t="s">
        <v>1122</v>
      </c>
      <c r="JE14" s="43">
        <v>635</v>
      </c>
      <c r="JF14" s="15" t="s">
        <v>1793</v>
      </c>
      <c r="JG14" s="211">
        <v>118.15</v>
      </c>
      <c r="JH14" s="70" t="s">
        <v>1794</v>
      </c>
      <c r="JI14" s="211">
        <v>1422.53</v>
      </c>
      <c r="JJ14" s="61" t="s">
        <v>1122</v>
      </c>
      <c r="JK14" s="43">
        <v>966</v>
      </c>
      <c r="JL14" s="42" t="s">
        <v>1795</v>
      </c>
      <c r="JM14" s="38"/>
      <c r="JN14" s="162" t="s">
        <v>1796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1797</v>
      </c>
      <c r="JU14" s="18">
        <f>(3175.47/5)</f>
        <v>635.09399999999994</v>
      </c>
      <c r="JV14" s="61" t="s">
        <v>1798</v>
      </c>
      <c r="JW14" s="43">
        <v>561</v>
      </c>
      <c r="JX14" s="42" t="s">
        <v>1799</v>
      </c>
      <c r="JY14" s="38"/>
      <c r="JZ14" s="155" t="s">
        <v>1800</v>
      </c>
      <c r="KA14" s="41">
        <v>2062.8000000000002</v>
      </c>
      <c r="KB14" s="61" t="s">
        <v>1720</v>
      </c>
      <c r="KC14" s="232">
        <v>1438</v>
      </c>
      <c r="KD14" s="15" t="s">
        <v>1490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1247</v>
      </c>
      <c r="KO14" s="43">
        <v>-4000</v>
      </c>
      <c r="KP14" s="47" t="s">
        <v>1801</v>
      </c>
      <c r="KQ14" s="38">
        <f>205.48+73.97+65.75</f>
        <v>345.2</v>
      </c>
      <c r="KR14" s="84" t="s">
        <v>1802</v>
      </c>
      <c r="KS14" s="59">
        <v>3.33</v>
      </c>
      <c r="KT14" s="61" t="s">
        <v>1247</v>
      </c>
      <c r="KU14" s="43">
        <v>-4000</v>
      </c>
      <c r="KV14" s="15" t="s">
        <v>1490</v>
      </c>
      <c r="KW14" s="38">
        <v>13.96</v>
      </c>
      <c r="KX14" s="155" t="s">
        <v>1803</v>
      </c>
      <c r="KY14" s="59">
        <v>91.22</v>
      </c>
      <c r="KZ14" s="61" t="s">
        <v>1336</v>
      </c>
      <c r="LA14" s="43">
        <v>233004</v>
      </c>
      <c r="LB14" s="42"/>
      <c r="LC14" s="38"/>
      <c r="LD14" s="155" t="s">
        <v>1804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1805</v>
      </c>
      <c r="LK14" s="298">
        <v>21.2</v>
      </c>
      <c r="LL14" s="67" t="s">
        <v>1746</v>
      </c>
      <c r="LM14" s="243"/>
      <c r="LN14" s="63" t="s">
        <v>1806</v>
      </c>
      <c r="LO14" s="54">
        <v>-28.82</v>
      </c>
      <c r="LP14" s="42" t="s">
        <v>1807</v>
      </c>
      <c r="LQ14" s="55">
        <v>3082.59</v>
      </c>
      <c r="LR14" s="61" t="s">
        <v>1729</v>
      </c>
      <c r="LS14" s="43">
        <v>100925</v>
      </c>
      <c r="LT14" s="47" t="s">
        <v>1808</v>
      </c>
      <c r="LU14" s="38">
        <f>39.73+71.51+198.63</f>
        <v>309.87</v>
      </c>
      <c r="LV14" s="144" t="s">
        <v>1809</v>
      </c>
      <c r="LW14" s="55"/>
      <c r="LX14" s="61" t="s">
        <v>1319</v>
      </c>
      <c r="LY14" s="232">
        <v>50000</v>
      </c>
      <c r="LZ14" s="47" t="s">
        <v>1736</v>
      </c>
      <c r="MA14" s="38">
        <f>212.33+76.44+42.47</f>
        <v>331.24</v>
      </c>
      <c r="MB14" s="145" t="s">
        <v>1810</v>
      </c>
      <c r="MC14" s="41">
        <f>18.56+10+17.49+17.37+15.72+10+16.79+18.38+10+17.1</f>
        <v>151.41</v>
      </c>
      <c r="MD14" s="61" t="s">
        <v>1401</v>
      </c>
      <c r="ME14" s="43">
        <v>28002</v>
      </c>
      <c r="MF14" s="59" t="s">
        <v>1811</v>
      </c>
      <c r="MG14" s="38">
        <v>26.77</v>
      </c>
      <c r="MH14" s="145" t="s">
        <v>1521</v>
      </c>
      <c r="MI14" s="41">
        <v>80</v>
      </c>
      <c r="MJ14" s="61" t="s">
        <v>1247</v>
      </c>
      <c r="MK14" s="43">
        <v>-4000</v>
      </c>
      <c r="ML14" s="42" t="s">
        <v>1812</v>
      </c>
      <c r="MM14" s="41">
        <v>34.65</v>
      </c>
      <c r="MN14" s="145" t="s">
        <v>1521</v>
      </c>
      <c r="MO14" s="41">
        <v>30</v>
      </c>
      <c r="MP14" s="61" t="s">
        <v>1247</v>
      </c>
      <c r="MQ14" s="43">
        <v>-4000</v>
      </c>
      <c r="MR14" s="15" t="s">
        <v>1813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1810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1814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1815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1401</v>
      </c>
      <c r="NO14" s="43">
        <v>0</v>
      </c>
      <c r="NP14" s="59" t="s">
        <v>1816</v>
      </c>
      <c r="NQ14" s="38">
        <v>284.45999999999998</v>
      </c>
      <c r="NR14" s="145" t="s">
        <v>1817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1538</v>
      </c>
      <c r="OC14" s="41">
        <v>1850</v>
      </c>
      <c r="OD14" s="15" t="s">
        <v>1818</v>
      </c>
      <c r="OE14" s="15">
        <v>3000</v>
      </c>
      <c r="OF14" s="63" t="s">
        <v>1819</v>
      </c>
      <c r="OG14" s="165">
        <v>80</v>
      </c>
      <c r="OH14" s="15" t="s">
        <v>3786</v>
      </c>
      <c r="OI14" s="41">
        <v>1830</v>
      </c>
      <c r="OJ14" s="145" t="s">
        <v>1459</v>
      </c>
      <c r="OK14" s="342">
        <v>51.76</v>
      </c>
      <c r="OL14" s="63" t="s">
        <v>1819</v>
      </c>
      <c r="OM14" s="165">
        <v>110.15</v>
      </c>
      <c r="ON14" s="341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1471</v>
      </c>
      <c r="N15" s="54">
        <v>0</v>
      </c>
      <c r="Q15" s="69" t="s">
        <v>1822</v>
      </c>
      <c r="R15" s="15">
        <v>1000</v>
      </c>
      <c r="S15" s="47" t="s">
        <v>1471</v>
      </c>
      <c r="T15" s="54">
        <v>0</v>
      </c>
      <c r="W15" s="51"/>
      <c r="Y15" s="47" t="s">
        <v>1471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1753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1753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1612</v>
      </c>
      <c r="BZ15" s="53">
        <v>17.001000000000001</v>
      </c>
      <c r="CA15" s="59" t="s">
        <v>1830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1612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1612</v>
      </c>
      <c r="CX15" s="53">
        <v>15.87</v>
      </c>
      <c r="CY15" s="42" t="s">
        <v>1753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1612</v>
      </c>
      <c r="DJ15" s="53">
        <v>2.54</v>
      </c>
      <c r="DM15" s="112" t="s">
        <v>1834</v>
      </c>
      <c r="DN15" s="44">
        <v>10001</v>
      </c>
      <c r="DO15" s="22" t="s">
        <v>1614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1768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1776</v>
      </c>
      <c r="ER15" s="155" t="s">
        <v>1629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1629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1614</v>
      </c>
      <c r="FS15" s="92">
        <v>424</v>
      </c>
      <c r="FT15" s="15" t="s">
        <v>1490</v>
      </c>
      <c r="FV15" s="70" t="s">
        <v>1318</v>
      </c>
      <c r="FW15" s="15">
        <v>5300</v>
      </c>
      <c r="FX15" s="61" t="s">
        <v>1221</v>
      </c>
      <c r="FY15" s="59">
        <v>0</v>
      </c>
      <c r="FZ15" s="15" t="s">
        <v>1352</v>
      </c>
      <c r="GB15" s="70" t="s">
        <v>1778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1627</v>
      </c>
      <c r="HC15" s="15">
        <v>2569</v>
      </c>
      <c r="HD15" s="15" t="s">
        <v>1490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1500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1798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8" t="s">
        <v>1728</v>
      </c>
      <c r="KE15" s="648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1358</v>
      </c>
      <c r="KS15" s="59">
        <v>194.04</v>
      </c>
      <c r="KT15" s="61" t="s">
        <v>1534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1382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1382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1524</v>
      </c>
      <c r="MG15" s="38">
        <v>38.5</v>
      </c>
      <c r="MH15" s="145" t="s">
        <v>1587</v>
      </c>
      <c r="MI15" s="44">
        <f>153.11*2+10.9</f>
        <v>317.12</v>
      </c>
      <c r="MJ15" s="47" t="s">
        <v>1519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1519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1810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1810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1746</v>
      </c>
      <c r="NU15" s="243"/>
      <c r="NV15" s="15" t="s">
        <v>1394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588"/>
      <c r="OJ15" s="145" t="s">
        <v>1821</v>
      </c>
      <c r="OK15" s="41">
        <v>30</v>
      </c>
      <c r="OL15" s="59" t="s">
        <v>1889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1891</v>
      </c>
      <c r="M16" s="15" t="s">
        <v>148</v>
      </c>
      <c r="N16" s="41">
        <v>0</v>
      </c>
      <c r="Q16" s="69" t="s">
        <v>1892</v>
      </c>
      <c r="R16" s="15">
        <v>200</v>
      </c>
      <c r="S16" s="15" t="s">
        <v>148</v>
      </c>
      <c r="T16" s="41">
        <v>0</v>
      </c>
      <c r="U16" s="15" t="s">
        <v>1753</v>
      </c>
      <c r="W16" s="56" t="s">
        <v>346</v>
      </c>
      <c r="Y16" s="15" t="s">
        <v>148</v>
      </c>
      <c r="Z16" s="41">
        <v>0</v>
      </c>
      <c r="AA16" s="15" t="s">
        <v>1753</v>
      </c>
      <c r="AC16" s="64" t="s">
        <v>1893</v>
      </c>
      <c r="AD16" s="15">
        <v>0</v>
      </c>
      <c r="AE16" s="22" t="s">
        <v>1751</v>
      </c>
      <c r="AF16" s="53">
        <v>115.37</v>
      </c>
      <c r="AI16" s="64" t="s">
        <v>1893</v>
      </c>
      <c r="AJ16" s="59">
        <v>0</v>
      </c>
      <c r="AK16" s="22" t="s">
        <v>1751</v>
      </c>
      <c r="AL16" s="53">
        <v>115.001</v>
      </c>
      <c r="AO16" s="69" t="s">
        <v>1894</v>
      </c>
      <c r="AP16" s="59">
        <v>100</v>
      </c>
      <c r="AQ16" s="22" t="s">
        <v>1895</v>
      </c>
      <c r="AR16" s="53">
        <v>19</v>
      </c>
      <c r="AS16" s="25"/>
      <c r="AU16" s="69" t="s">
        <v>1896</v>
      </c>
      <c r="AV16" s="15">
        <v>100</v>
      </c>
      <c r="AW16" s="22" t="s">
        <v>1895</v>
      </c>
      <c r="AX16" s="53">
        <v>19.001000000000001</v>
      </c>
      <c r="AY16" s="69"/>
      <c r="BA16" s="22" t="s">
        <v>1895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1897</v>
      </c>
      <c r="BF16" s="59">
        <v>420</v>
      </c>
      <c r="BG16" s="22" t="s">
        <v>1612</v>
      </c>
      <c r="BH16" s="53">
        <v>17.37</v>
      </c>
      <c r="BK16" s="85" t="s">
        <v>1898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1753</v>
      </c>
      <c r="BV16" s="59" t="s">
        <v>646</v>
      </c>
      <c r="BW16" s="85" t="s">
        <v>1899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1753</v>
      </c>
      <c r="CH16" s="59" t="s">
        <v>646</v>
      </c>
      <c r="CI16" s="84" t="s">
        <v>1900</v>
      </c>
      <c r="CJ16" s="42">
        <v>100</v>
      </c>
      <c r="CK16" s="22" t="s">
        <v>1901</v>
      </c>
      <c r="CL16" s="53"/>
      <c r="CM16" s="42" t="s">
        <v>1753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1902</v>
      </c>
      <c r="CT16" s="42">
        <v>9.75</v>
      </c>
      <c r="CU16" s="85" t="s">
        <v>321</v>
      </c>
      <c r="CV16" s="42" t="s">
        <v>646</v>
      </c>
      <c r="CW16" s="58" t="s">
        <v>1338</v>
      </c>
      <c r="CX16" s="96">
        <v>100.01</v>
      </c>
      <c r="CY16" s="55" t="s">
        <v>1282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1903</v>
      </c>
      <c r="DH16" s="55">
        <v>100</v>
      </c>
      <c r="DI16" s="58" t="s">
        <v>1338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1768</v>
      </c>
      <c r="DV16" s="90">
        <v>10000</v>
      </c>
      <c r="DW16" s="15" t="s">
        <v>1767</v>
      </c>
      <c r="DX16" s="15">
        <v>32.1</v>
      </c>
      <c r="DY16" s="64" t="s">
        <v>1904</v>
      </c>
      <c r="DZ16" s="15">
        <v>64.88</v>
      </c>
      <c r="EA16" s="22" t="s">
        <v>1838</v>
      </c>
      <c r="EB16" s="90">
        <v>10000</v>
      </c>
      <c r="EE16" s="64" t="s">
        <v>1904</v>
      </c>
      <c r="EF16" s="15">
        <v>56.99</v>
      </c>
      <c r="EH16" s="47" t="s">
        <v>1905</v>
      </c>
      <c r="EI16" s="92">
        <v>40000</v>
      </c>
      <c r="EJ16" s="15" t="s">
        <v>1656</v>
      </c>
      <c r="EK16" s="15">
        <v>19.5</v>
      </c>
      <c r="EL16" s="64" t="s">
        <v>1841</v>
      </c>
      <c r="EM16" s="15" t="s">
        <v>1906</v>
      </c>
      <c r="EN16" s="47" t="s">
        <v>1768</v>
      </c>
      <c r="EO16" s="92">
        <v>10000</v>
      </c>
      <c r="EP16" s="59" t="s">
        <v>1905</v>
      </c>
      <c r="EQ16" s="15">
        <v>54.94</v>
      </c>
      <c r="ER16" s="162" t="s">
        <v>1841</v>
      </c>
      <c r="ES16" s="15">
        <v>88.98</v>
      </c>
      <c r="ET16" s="47" t="s">
        <v>1907</v>
      </c>
      <c r="EU16" s="92">
        <v>25000</v>
      </c>
      <c r="EX16" s="162" t="s">
        <v>1908</v>
      </c>
      <c r="EY16" s="15">
        <v>77.72</v>
      </c>
      <c r="EZ16" s="47" t="s">
        <v>1840</v>
      </c>
      <c r="FA16" s="92">
        <v>4000</v>
      </c>
      <c r="FB16" s="15" t="s">
        <v>1909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1910</v>
      </c>
      <c r="FI16" s="15">
        <f>15053.39-15000</f>
        <v>53.389999999999418</v>
      </c>
      <c r="FJ16" s="162" t="s">
        <v>1908</v>
      </c>
      <c r="FK16" s="15">
        <v>67.08</v>
      </c>
      <c r="FL16" s="59" t="s">
        <v>1771</v>
      </c>
      <c r="FM16" s="89">
        <v>1000</v>
      </c>
      <c r="FN16" s="15" t="s">
        <v>1911</v>
      </c>
      <c r="FO16" s="15">
        <v>2730</v>
      </c>
      <c r="FP16" s="155" t="s">
        <v>1912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1913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1914</v>
      </c>
      <c r="GC16" s="15">
        <v>378.81</v>
      </c>
      <c r="GD16" s="47" t="s">
        <v>1412</v>
      </c>
      <c r="GE16" s="15">
        <v>130</v>
      </c>
      <c r="GF16" s="15" t="s">
        <v>1352</v>
      </c>
      <c r="GH16" s="167" t="s">
        <v>1915</v>
      </c>
      <c r="GI16" s="15">
        <v>2454.0500000000002</v>
      </c>
      <c r="GJ16" s="61" t="s">
        <v>1221</v>
      </c>
      <c r="GK16" s="59">
        <v>0</v>
      </c>
      <c r="GN16" s="171" t="s">
        <v>1916</v>
      </c>
      <c r="GO16" s="15">
        <v>324.7</v>
      </c>
      <c r="GP16" s="61" t="s">
        <v>1221</v>
      </c>
      <c r="GQ16" s="59">
        <v>0</v>
      </c>
      <c r="GR16" s="15" t="s">
        <v>1352</v>
      </c>
      <c r="GT16" s="70" t="s">
        <v>1917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1629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1918</v>
      </c>
      <c r="HL16" s="162" t="s">
        <v>1919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1920</v>
      </c>
      <c r="HW16" s="204">
        <f>18.8+37.6</f>
        <v>56.400000000000006</v>
      </c>
      <c r="HX16" s="162" t="s">
        <v>1491</v>
      </c>
      <c r="HY16" s="178">
        <f>2525.92/6</f>
        <v>420.98666666666668</v>
      </c>
      <c r="HZ16" s="61" t="s">
        <v>1627</v>
      </c>
      <c r="IA16" s="15">
        <v>606</v>
      </c>
      <c r="IB16" s="215" t="s">
        <v>1921</v>
      </c>
      <c r="IC16" s="216">
        <f>208.9*2</f>
        <v>417.8</v>
      </c>
      <c r="ID16" s="70" t="s">
        <v>1421</v>
      </c>
      <c r="IE16" s="15">
        <v>100</v>
      </c>
      <c r="IF16" s="61" t="s">
        <v>1922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1491</v>
      </c>
      <c r="IK16" s="178">
        <f>2750.62/3</f>
        <v>916.87333333333333</v>
      </c>
      <c r="IL16" s="61" t="s">
        <v>1707</v>
      </c>
      <c r="IM16" s="43">
        <v>102</v>
      </c>
      <c r="IN16" s="15" t="s">
        <v>1490</v>
      </c>
      <c r="IO16" s="211">
        <v>1.55</v>
      </c>
      <c r="IP16" s="162" t="s">
        <v>1656</v>
      </c>
      <c r="IQ16" s="41">
        <f>15+6.5</f>
        <v>21.5</v>
      </c>
      <c r="IR16" s="61" t="s">
        <v>1923</v>
      </c>
      <c r="IS16" s="15">
        <f>10502+14002</f>
        <v>24504</v>
      </c>
      <c r="IT16" s="42" t="s">
        <v>1924</v>
      </c>
      <c r="IU16" s="211">
        <v>7.57</v>
      </c>
      <c r="IV16" s="162" t="s">
        <v>1575</v>
      </c>
      <c r="IW16" s="41">
        <v>47.54</v>
      </c>
      <c r="IX16" s="61" t="s">
        <v>1925</v>
      </c>
      <c r="IY16" s="43">
        <v>24</v>
      </c>
      <c r="IZ16" s="15" t="s">
        <v>1926</v>
      </c>
      <c r="JA16" s="211">
        <v>16.05</v>
      </c>
      <c r="JB16" s="70" t="s">
        <v>1719</v>
      </c>
      <c r="JC16" s="18">
        <f>JC17*2</f>
        <v>2116.98</v>
      </c>
      <c r="JD16" s="61" t="s">
        <v>1927</v>
      </c>
      <c r="JE16" s="43">
        <v>89</v>
      </c>
      <c r="JF16" s="186" t="s">
        <v>1928</v>
      </c>
      <c r="JG16" s="204">
        <v>379.39</v>
      </c>
      <c r="JH16" s="162" t="s">
        <v>1929</v>
      </c>
      <c r="JI16" s="41" t="s">
        <v>663</v>
      </c>
      <c r="JJ16" s="61" t="s">
        <v>1927</v>
      </c>
      <c r="JK16" s="43">
        <v>4000</v>
      </c>
      <c r="JL16" s="15" t="s">
        <v>1930</v>
      </c>
      <c r="JM16" s="41">
        <f>25.72</f>
        <v>25.72</v>
      </c>
      <c r="JN16" s="162" t="s">
        <v>1931</v>
      </c>
      <c r="JO16" s="41">
        <v>23.96</v>
      </c>
      <c r="JP16" s="61" t="s">
        <v>1865</v>
      </c>
      <c r="JQ16" s="243">
        <v>2441</v>
      </c>
      <c r="JR16" s="15" t="s">
        <v>1932</v>
      </c>
      <c r="JS16" s="38">
        <v>300</v>
      </c>
      <c r="JT16" s="162" t="s">
        <v>1931</v>
      </c>
      <c r="JU16" s="41">
        <v>129.6</v>
      </c>
      <c r="JV16" s="75" t="s">
        <v>1933</v>
      </c>
      <c r="JW16" s="243"/>
      <c r="JX16" s="15" t="s">
        <v>1725</v>
      </c>
      <c r="JY16" s="38"/>
      <c r="JZ16" s="155" t="s">
        <v>1934</v>
      </c>
      <c r="KA16" s="15">
        <v>10</v>
      </c>
      <c r="KB16" s="75" t="s">
        <v>1935</v>
      </c>
      <c r="KC16" s="243"/>
      <c r="KD16" s="279"/>
      <c r="KE16" s="279"/>
      <c r="KF16" s="162" t="s">
        <v>1936</v>
      </c>
      <c r="KG16" s="41">
        <v>10.8</v>
      </c>
      <c r="KH16" s="47" t="s">
        <v>1937</v>
      </c>
      <c r="KI16" s="185">
        <v>30</v>
      </c>
      <c r="KJ16" s="42" t="s">
        <v>1938</v>
      </c>
      <c r="KK16" s="38">
        <f>7.87+11.3</f>
        <v>19.170000000000002</v>
      </c>
      <c r="KL16" s="70" t="s">
        <v>1939</v>
      </c>
      <c r="KM16" s="211">
        <f>KM19*9</f>
        <v>1272.2760000000001</v>
      </c>
      <c r="KN16" s="61" t="s">
        <v>1729</v>
      </c>
      <c r="KO16" s="43">
        <v>100842</v>
      </c>
      <c r="KP16" s="59" t="s">
        <v>1940</v>
      </c>
      <c r="KQ16" s="15">
        <f>30000*(1-0.9807)</f>
        <v>578.99999999999955</v>
      </c>
      <c r="KR16" s="84" t="s">
        <v>1941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1942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1819</v>
      </c>
      <c r="LG16" s="165">
        <v>10</v>
      </c>
      <c r="LH16" s="42"/>
      <c r="LI16" s="38"/>
      <c r="LJ16" s="155" t="s">
        <v>1943</v>
      </c>
      <c r="LK16" s="298">
        <v>50</v>
      </c>
      <c r="LL16" s="67" t="s">
        <v>1819</v>
      </c>
      <c r="LM16" s="165">
        <v>11</v>
      </c>
      <c r="LN16" s="15" t="s">
        <v>1308</v>
      </c>
      <c r="LO16" s="38"/>
      <c r="LP16" s="155" t="s">
        <v>1944</v>
      </c>
      <c r="LQ16" s="55">
        <f>1021.88+238.15</f>
        <v>1260.03</v>
      </c>
      <c r="LR16" s="67" t="s">
        <v>1746</v>
      </c>
      <c r="LS16" s="243"/>
      <c r="LT16" s="42" t="s">
        <v>1945</v>
      </c>
      <c r="LU16" s="38">
        <v>283.13</v>
      </c>
      <c r="LV16" s="304" t="s">
        <v>1946</v>
      </c>
      <c r="LW16" s="54">
        <v>138.97</v>
      </c>
      <c r="LX16" s="61" t="s">
        <v>1947</v>
      </c>
      <c r="LY16" s="43">
        <v>100001</v>
      </c>
      <c r="LZ16" s="42" t="s">
        <v>1948</v>
      </c>
      <c r="MA16" s="38">
        <v>309.74</v>
      </c>
      <c r="MB16" s="42" t="s">
        <v>1949</v>
      </c>
      <c r="MC16" s="55">
        <v>375.8</v>
      </c>
      <c r="MD16" s="61" t="s">
        <v>1336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1401</v>
      </c>
      <c r="MK16" s="43">
        <v>61003</v>
      </c>
      <c r="ML16" s="311" t="s">
        <v>1950</v>
      </c>
      <c r="MM16" s="318">
        <f>74.6*2</f>
        <v>149.19999999999999</v>
      </c>
      <c r="MN16" s="145" t="s">
        <v>1656</v>
      </c>
      <c r="MO16" s="41">
        <v>5</v>
      </c>
      <c r="MP16" s="61" t="s">
        <v>1401</v>
      </c>
      <c r="MQ16" s="43">
        <v>0</v>
      </c>
      <c r="MR16" s="47" t="s">
        <v>1880</v>
      </c>
      <c r="MS16" s="38">
        <f>41+74+205</f>
        <v>320</v>
      </c>
      <c r="MT16" s="145" t="s">
        <v>1951</v>
      </c>
      <c r="MU16" s="44">
        <v>153.11000000000001</v>
      </c>
      <c r="MV16" s="61" t="s">
        <v>1401</v>
      </c>
      <c r="MW16" s="41">
        <v>0</v>
      </c>
      <c r="MX16" s="42" t="s">
        <v>1952</v>
      </c>
      <c r="MY16" s="41">
        <f>34.21+0.66</f>
        <v>34.869999999999997</v>
      </c>
      <c r="MZ16" s="317" t="s">
        <v>1953</v>
      </c>
      <c r="NA16" s="41">
        <v>4</v>
      </c>
      <c r="NB16" s="61" t="s">
        <v>1729</v>
      </c>
      <c r="NC16" s="43">
        <v>100686</v>
      </c>
      <c r="ND16" s="15" t="s">
        <v>1657</v>
      </c>
      <c r="NE16" s="38"/>
      <c r="NF16" s="317" t="s">
        <v>1954</v>
      </c>
      <c r="NG16" s="41">
        <v>10</v>
      </c>
      <c r="NH16" s="47" t="s">
        <v>1670</v>
      </c>
      <c r="NI16" s="92">
        <v>-1486</v>
      </c>
      <c r="NJ16" s="42" t="s">
        <v>1955</v>
      </c>
      <c r="NK16" s="41">
        <v>11.23</v>
      </c>
      <c r="NL16" s="317" t="s">
        <v>1956</v>
      </c>
      <c r="NM16" s="41">
        <v>20</v>
      </c>
      <c r="NN16" s="67" t="s">
        <v>1746</v>
      </c>
      <c r="NO16" s="243"/>
      <c r="NP16" s="42" t="s">
        <v>1957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1386</v>
      </c>
      <c r="NW16" s="38">
        <f>78.59+0.19</f>
        <v>78.78</v>
      </c>
      <c r="NX16" s="145" t="s">
        <v>1532</v>
      </c>
      <c r="NY16" s="55">
        <v>71.599999999999994</v>
      </c>
      <c r="NZ16" s="63" t="s">
        <v>1819</v>
      </c>
      <c r="OA16" s="165">
        <v>50</v>
      </c>
      <c r="OB16" s="59"/>
      <c r="OD16" s="145" t="s">
        <v>1958</v>
      </c>
      <c r="OE16" s="336">
        <v>358</v>
      </c>
      <c r="OF16" s="280">
        <v>186802</v>
      </c>
      <c r="OG16" s="15" t="s">
        <v>1959</v>
      </c>
      <c r="OH16" s="15" t="s">
        <v>1394</v>
      </c>
      <c r="OI16" s="38"/>
      <c r="OJ16" s="145" t="s">
        <v>1890</v>
      </c>
      <c r="OK16" s="336"/>
      <c r="OL16" s="280">
        <v>184160</v>
      </c>
      <c r="OM16" s="15" t="s">
        <v>1959</v>
      </c>
      <c r="ON16" s="341">
        <v>45709</v>
      </c>
      <c r="OO16" s="280"/>
    </row>
    <row r="17" spans="1:405" ht="12" customHeight="1">
      <c r="A17" s="47" t="s">
        <v>1471</v>
      </c>
      <c r="B17" s="54">
        <v>0</v>
      </c>
      <c r="E17" s="56" t="s">
        <v>346</v>
      </c>
      <c r="F17" s="56"/>
      <c r="G17" s="47" t="s">
        <v>1471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1758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1901</v>
      </c>
      <c r="BZ17" s="53"/>
      <c r="CA17" s="42" t="s">
        <v>1753</v>
      </c>
      <c r="CB17" s="59" t="s">
        <v>646</v>
      </c>
      <c r="CC17" s="85"/>
      <c r="CD17" s="59"/>
      <c r="CE17" s="22" t="s">
        <v>1901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1901</v>
      </c>
      <c r="CR17" s="53"/>
      <c r="CU17" s="86" t="s">
        <v>1967</v>
      </c>
      <c r="CV17" s="42">
        <v>615.20000000000005</v>
      </c>
      <c r="CW17" s="22" t="s">
        <v>1901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1338</v>
      </c>
      <c r="DD17" s="96">
        <v>150</v>
      </c>
      <c r="DE17" s="55" t="s">
        <v>1970</v>
      </c>
      <c r="DF17" s="59">
        <v>19.8</v>
      </c>
      <c r="DG17" s="112" t="s">
        <v>1611</v>
      </c>
      <c r="DH17" s="55">
        <v>132.93</v>
      </c>
      <c r="DI17" s="47" t="s">
        <v>1476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1905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1293</v>
      </c>
      <c r="DX17" s="15">
        <v>12.9</v>
      </c>
      <c r="DY17" s="64" t="s">
        <v>1656</v>
      </c>
      <c r="DZ17" s="15">
        <f>6.5+15</f>
        <v>21.5</v>
      </c>
      <c r="EA17" s="22" t="s">
        <v>1905</v>
      </c>
      <c r="EB17" s="90">
        <v>40000</v>
      </c>
      <c r="EE17" s="64" t="s">
        <v>1656</v>
      </c>
      <c r="EF17" s="15">
        <f>15+6.5+97.5</f>
        <v>119</v>
      </c>
      <c r="EH17" s="47" t="s">
        <v>1972</v>
      </c>
      <c r="EI17" s="92">
        <v>20000</v>
      </c>
      <c r="EJ17" s="15" t="s">
        <v>1293</v>
      </c>
      <c r="EK17" s="15">
        <v>3.9</v>
      </c>
      <c r="EL17" s="64" t="s">
        <v>1908</v>
      </c>
      <c r="EM17" s="15">
        <v>73.87</v>
      </c>
      <c r="EN17" s="47" t="s">
        <v>1973</v>
      </c>
      <c r="EO17" s="92">
        <v>5000</v>
      </c>
      <c r="ER17" s="162" t="s">
        <v>1908</v>
      </c>
      <c r="ES17" s="15">
        <v>78.400000000000006</v>
      </c>
      <c r="ET17" s="47" t="s">
        <v>1768</v>
      </c>
      <c r="EU17" s="92">
        <v>10000</v>
      </c>
      <c r="EX17" s="162" t="s">
        <v>1974</v>
      </c>
      <c r="EY17" s="15">
        <v>72</v>
      </c>
      <c r="EZ17" s="47" t="s">
        <v>1907</v>
      </c>
      <c r="FA17" s="92">
        <v>25000</v>
      </c>
      <c r="FB17" s="15" t="s">
        <v>1975</v>
      </c>
      <c r="FC17" s="15">
        <v>1888</v>
      </c>
      <c r="FD17" s="162" t="s">
        <v>1908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1629</v>
      </c>
      <c r="FQ17" s="147">
        <v>1861.8</v>
      </c>
      <c r="FR17" s="59" t="s">
        <v>1771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1490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1775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1788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1630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1490</v>
      </c>
      <c r="II17" s="211">
        <v>1.67</v>
      </c>
      <c r="IJ17" s="162" t="s">
        <v>1702</v>
      </c>
      <c r="IK17" s="178" t="s">
        <v>1994</v>
      </c>
      <c r="IL17" s="61" t="s">
        <v>1788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1490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1933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1810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1401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1657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1656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1953</v>
      </c>
      <c r="NG17" s="41">
        <f>1+7+1+5+10</f>
        <v>24</v>
      </c>
      <c r="NH17" s="63" t="s">
        <v>1819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1810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1394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H17" s="15" t="s">
        <v>1820</v>
      </c>
      <c r="OI17" s="38"/>
      <c r="OJ17" s="145" t="s">
        <v>1961</v>
      </c>
      <c r="OK17" s="339">
        <f>2.1+25</f>
        <v>27.1</v>
      </c>
      <c r="OL17" s="59" t="s">
        <v>2028</v>
      </c>
      <c r="OM17" s="43">
        <v>2600</v>
      </c>
      <c r="ON17" s="341">
        <v>45705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2032</v>
      </c>
      <c r="AD18" s="15">
        <v>104</v>
      </c>
      <c r="AE18" s="22" t="s">
        <v>1962</v>
      </c>
      <c r="AF18" s="53"/>
      <c r="AI18" s="65" t="s">
        <v>2033</v>
      </c>
      <c r="AJ18" s="59">
        <v>0</v>
      </c>
      <c r="AK18" s="22" t="s">
        <v>1962</v>
      </c>
      <c r="AL18" s="53"/>
      <c r="AM18" s="15" t="s">
        <v>1753</v>
      </c>
      <c r="AO18" s="56" t="s">
        <v>2034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1901</v>
      </c>
      <c r="AX18" s="53"/>
      <c r="AY18" s="56"/>
      <c r="AZ18" s="59"/>
      <c r="BA18" s="22" t="s">
        <v>1901</v>
      </c>
      <c r="BB18" s="53">
        <f t="shared" si="0"/>
        <v>0</v>
      </c>
      <c r="BE18" s="64" t="s">
        <v>2035</v>
      </c>
      <c r="BF18" s="59" t="s">
        <v>646</v>
      </c>
      <c r="BG18" s="22" t="s">
        <v>1901</v>
      </c>
      <c r="BH18" s="53"/>
      <c r="BJ18" s="59"/>
      <c r="BK18" s="86" t="s">
        <v>2035</v>
      </c>
      <c r="BL18" s="59">
        <f>172+215</f>
        <v>387</v>
      </c>
      <c r="BM18" s="22" t="s">
        <v>1901</v>
      </c>
      <c r="BN18" s="53"/>
      <c r="BO18" s="59" t="s">
        <v>1830</v>
      </c>
      <c r="BP18" s="59">
        <v>7</v>
      </c>
      <c r="BQ18" s="86" t="s">
        <v>2036</v>
      </c>
      <c r="BR18" s="59">
        <v>172</v>
      </c>
      <c r="BS18" s="22" t="s">
        <v>1901</v>
      </c>
      <c r="BT18" s="23"/>
      <c r="BU18" s="59"/>
      <c r="BV18" s="59"/>
      <c r="BW18" s="86" t="s">
        <v>2037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2038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1282</v>
      </c>
      <c r="CN18" s="42">
        <f>5+5</f>
        <v>10</v>
      </c>
      <c r="CO18" s="86" t="s">
        <v>2035</v>
      </c>
      <c r="CP18" s="59" t="s">
        <v>646</v>
      </c>
      <c r="CQ18" s="22" t="s">
        <v>1966</v>
      </c>
      <c r="CR18" s="53">
        <v>60</v>
      </c>
      <c r="CS18" s="55" t="s">
        <v>1762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1901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49" t="s">
        <v>2042</v>
      </c>
      <c r="DJ18" s="650"/>
      <c r="DK18" s="55"/>
      <c r="DM18" s="112" t="s">
        <v>1683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1905</v>
      </c>
      <c r="DV18" s="90">
        <v>40000</v>
      </c>
      <c r="DY18" s="64" t="s">
        <v>2045</v>
      </c>
      <c r="DZ18" s="15">
        <v>140.94999999999999</v>
      </c>
      <c r="EA18" s="22" t="s">
        <v>1972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1293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1974</v>
      </c>
      <c r="ES18" s="15">
        <v>0</v>
      </c>
      <c r="ET18" s="47" t="s">
        <v>2048</v>
      </c>
      <c r="EU18" s="92">
        <v>5000</v>
      </c>
      <c r="EV18" s="569" t="s">
        <v>1776</v>
      </c>
      <c r="EX18" s="162" t="s">
        <v>1656</v>
      </c>
      <c r="EY18" s="15">
        <f>15+6.5</f>
        <v>21.5</v>
      </c>
      <c r="EZ18" s="47" t="s">
        <v>1768</v>
      </c>
      <c r="FA18" s="92">
        <v>15000</v>
      </c>
      <c r="FB18" s="569" t="s">
        <v>1776</v>
      </c>
      <c r="FD18" s="162" t="s">
        <v>2049</v>
      </c>
      <c r="FE18" s="15">
        <v>139.01</v>
      </c>
      <c r="FF18" s="47" t="s">
        <v>1768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1840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1890</v>
      </c>
      <c r="GD18" s="47" t="s">
        <v>2055</v>
      </c>
      <c r="GE18" s="75">
        <v>856</v>
      </c>
      <c r="GF18" s="15" t="s">
        <v>1490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1490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1491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1788</v>
      </c>
      <c r="IA18" s="15">
        <v>0</v>
      </c>
      <c r="IB18" s="219" t="s">
        <v>2065</v>
      </c>
      <c r="IC18" s="218">
        <f>20.89*3</f>
        <v>62.67</v>
      </c>
      <c r="ID18" s="162" t="s">
        <v>1491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1926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2002</v>
      </c>
      <c r="JQ18" s="43">
        <v>0</v>
      </c>
      <c r="JR18" s="248" t="s">
        <v>1930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1381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1819</v>
      </c>
      <c r="LA18" s="165">
        <v>-78.540000000000006</v>
      </c>
      <c r="LB18" s="59" t="s">
        <v>2085</v>
      </c>
      <c r="LC18" s="15">
        <v>32.479999999999997</v>
      </c>
      <c r="LD18" s="155" t="s">
        <v>1512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1514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1810</v>
      </c>
      <c r="MI18" s="41">
        <f>17.1+10+15.9+16.45+10+15.33+17.87+10+13.36+10</f>
        <v>136.01</v>
      </c>
      <c r="MJ18" s="61" t="s">
        <v>1336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1336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1336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1819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1959</v>
      </c>
      <c r="OB18" s="15" t="s">
        <v>2105</v>
      </c>
      <c r="OC18" s="38">
        <f>34.82+100.62</f>
        <v>135.44</v>
      </c>
      <c r="OD18" s="145" t="s">
        <v>1810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1386</v>
      </c>
      <c r="OI18" s="41">
        <f>44.6+0.35</f>
        <v>44.95</v>
      </c>
      <c r="OJ18" s="145" t="s">
        <v>2030</v>
      </c>
      <c r="OK18" s="55">
        <v>111.97</v>
      </c>
      <c r="OL18" s="61" t="s">
        <v>2106</v>
      </c>
      <c r="OM18" s="43">
        <v>735</v>
      </c>
      <c r="ON18" s="341">
        <v>45704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1891</v>
      </c>
      <c r="S19" s="22" t="s">
        <v>2108</v>
      </c>
      <c r="T19" s="53">
        <v>550</v>
      </c>
      <c r="W19" s="56" t="s">
        <v>2109</v>
      </c>
      <c r="Y19" s="22" t="s">
        <v>2031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2031</v>
      </c>
      <c r="BZ19" s="53">
        <v>7142</v>
      </c>
      <c r="CA19" s="59"/>
      <c r="CC19" s="86" t="s">
        <v>2116</v>
      </c>
      <c r="CD19" s="42" t="s">
        <v>2118</v>
      </c>
      <c r="CE19" s="22" t="s">
        <v>2031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1753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2046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2046</v>
      </c>
      <c r="EB19" s="90">
        <v>10000</v>
      </c>
      <c r="EC19" s="569" t="s">
        <v>1776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1656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1972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2048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1776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1291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2055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1788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1923</v>
      </c>
      <c r="IM19" s="15">
        <f>10502+14002</f>
        <v>24504</v>
      </c>
      <c r="IN19" s="15" t="s">
        <v>1926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1931</v>
      </c>
      <c r="JC19" s="41">
        <v>109.57</v>
      </c>
      <c r="JD19" s="61" t="s">
        <v>2156</v>
      </c>
      <c r="JE19" s="43">
        <v>0</v>
      </c>
      <c r="JH19" s="162" t="s">
        <v>1642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1656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1469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1810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1959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1656</v>
      </c>
      <c r="NY19" s="55">
        <f>8.6+5</f>
        <v>13.6</v>
      </c>
      <c r="NZ19" s="59" t="s">
        <v>2028</v>
      </c>
      <c r="OA19" s="43">
        <v>2600</v>
      </c>
      <c r="OB19" s="15" t="s">
        <v>1386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1960</v>
      </c>
      <c r="OI19" s="38">
        <v>4.3600000000000003</v>
      </c>
      <c r="OJ19" s="145" t="s">
        <v>1656</v>
      </c>
      <c r="OK19" s="55"/>
      <c r="OL19" s="61" t="s">
        <v>2189</v>
      </c>
      <c r="OM19" s="43">
        <v>2489</v>
      </c>
      <c r="ON19" s="341">
        <v>45705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1752</v>
      </c>
      <c r="X20" s="15">
        <v>0</v>
      </c>
      <c r="Y20" s="22" t="s">
        <v>2108</v>
      </c>
      <c r="Z20" s="53">
        <v>550</v>
      </c>
      <c r="AC20" s="65" t="s">
        <v>2191</v>
      </c>
      <c r="AD20" s="15">
        <v>132.35</v>
      </c>
      <c r="AE20" s="22" t="s">
        <v>2031</v>
      </c>
      <c r="AF20" s="53">
        <v>1142</v>
      </c>
      <c r="AI20" s="65" t="s">
        <v>2191</v>
      </c>
      <c r="AJ20" s="15">
        <v>250</v>
      </c>
      <c r="AK20" s="22" t="s">
        <v>2031</v>
      </c>
      <c r="AL20" s="53">
        <v>1142</v>
      </c>
      <c r="AO20" s="64" t="s">
        <v>1823</v>
      </c>
      <c r="AP20" s="59">
        <v>0</v>
      </c>
      <c r="AQ20" s="22" t="s">
        <v>2031</v>
      </c>
      <c r="AR20" s="53">
        <v>1142</v>
      </c>
      <c r="AU20" s="64" t="s">
        <v>1823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2192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2108</v>
      </c>
      <c r="CF20" s="53">
        <v>527.62</v>
      </c>
      <c r="CI20" s="86" t="s">
        <v>1629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1282</v>
      </c>
      <c r="CU20" s="87" t="s">
        <v>2193</v>
      </c>
      <c r="CV20" s="59">
        <v>45.3</v>
      </c>
      <c r="CW20" s="22" t="s">
        <v>2108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2121</v>
      </c>
      <c r="DD20" s="53">
        <v>17242</v>
      </c>
      <c r="DE20" s="55" t="s">
        <v>2194</v>
      </c>
      <c r="DF20" s="42">
        <v>100</v>
      </c>
      <c r="DG20" s="112" t="s">
        <v>2195</v>
      </c>
      <c r="DH20" s="44">
        <v>30.01</v>
      </c>
      <c r="DI20" s="22" t="s">
        <v>2196</v>
      </c>
      <c r="DJ20" s="90">
        <v>10000</v>
      </c>
      <c r="DK20" s="584" t="s">
        <v>2197</v>
      </c>
      <c r="DM20" s="113" t="s">
        <v>1984</v>
      </c>
      <c r="DN20" s="44">
        <v>420</v>
      </c>
      <c r="DO20" s="22" t="s">
        <v>2198</v>
      </c>
      <c r="DP20" s="90">
        <v>10000</v>
      </c>
      <c r="DQ20" s="584" t="s">
        <v>1776</v>
      </c>
      <c r="DS20" s="86" t="s">
        <v>1904</v>
      </c>
      <c r="DT20" s="55">
        <v>49.07</v>
      </c>
      <c r="DU20" s="22" t="s">
        <v>2046</v>
      </c>
      <c r="DV20" s="90">
        <v>10000</v>
      </c>
      <c r="DY20" s="64" t="s">
        <v>2132</v>
      </c>
      <c r="DZ20" s="15" t="s">
        <v>2199</v>
      </c>
      <c r="EA20" s="22"/>
      <c r="EB20" s="90"/>
      <c r="EE20" s="64" t="s">
        <v>2132</v>
      </c>
      <c r="EF20" s="15">
        <v>64</v>
      </c>
      <c r="EH20" s="47" t="s">
        <v>1769</v>
      </c>
      <c r="EI20" s="92">
        <v>5000</v>
      </c>
      <c r="EJ20" s="569" t="s">
        <v>1776</v>
      </c>
      <c r="EL20" s="64" t="s">
        <v>2045</v>
      </c>
      <c r="EM20" s="15">
        <v>158.44999999999999</v>
      </c>
      <c r="EN20" s="47" t="s">
        <v>2200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2201</v>
      </c>
      <c r="EW20" s="15">
        <v>15</v>
      </c>
      <c r="EX20" s="162" t="s">
        <v>2127</v>
      </c>
      <c r="EY20" s="15" t="s">
        <v>2202</v>
      </c>
      <c r="EZ20" s="47" t="s">
        <v>2048</v>
      </c>
      <c r="FA20" s="92">
        <v>1000</v>
      </c>
      <c r="FB20" s="15" t="s">
        <v>2201</v>
      </c>
      <c r="FC20" s="15">
        <v>8.7100000000000009</v>
      </c>
      <c r="FD20" s="162" t="s">
        <v>2203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2204</v>
      </c>
      <c r="FK20" s="15">
        <v>12</v>
      </c>
      <c r="FL20" s="47" t="s">
        <v>1768</v>
      </c>
      <c r="FM20" s="92">
        <v>15000</v>
      </c>
      <c r="FN20" s="569" t="s">
        <v>1771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2205</v>
      </c>
      <c r="FU20" s="15">
        <v>1200</v>
      </c>
      <c r="FV20" s="162" t="s">
        <v>1656</v>
      </c>
      <c r="FW20" s="15">
        <f>6.5+15</f>
        <v>21.5</v>
      </c>
      <c r="FX20" s="47" t="s">
        <v>2206</v>
      </c>
      <c r="FY20" s="92">
        <v>209</v>
      </c>
      <c r="FZ20" s="15" t="s">
        <v>2207</v>
      </c>
      <c r="GA20" s="15">
        <f>207-202</f>
        <v>5</v>
      </c>
      <c r="GB20" s="162" t="s">
        <v>2208</v>
      </c>
      <c r="GC20" s="15">
        <v>126.93</v>
      </c>
      <c r="GD20" s="47" t="s">
        <v>2206</v>
      </c>
      <c r="GE20" s="92">
        <v>1202</v>
      </c>
      <c r="GF20" s="15" t="s">
        <v>1197</v>
      </c>
      <c r="GG20" s="18"/>
      <c r="GH20" s="162" t="s">
        <v>2208</v>
      </c>
      <c r="GI20" s="15">
        <v>95.54</v>
      </c>
      <c r="GJ20" s="47" t="s">
        <v>2055</v>
      </c>
      <c r="GK20" s="75">
        <v>744</v>
      </c>
      <c r="GL20" s="15" t="s">
        <v>2209</v>
      </c>
      <c r="GM20" s="15">
        <f>1966-2002</f>
        <v>-36</v>
      </c>
      <c r="GN20" s="162" t="s">
        <v>2060</v>
      </c>
      <c r="GO20" s="15" t="s">
        <v>2210</v>
      </c>
      <c r="GP20" s="47" t="s">
        <v>2055</v>
      </c>
      <c r="GQ20" s="75">
        <v>745</v>
      </c>
      <c r="GR20" s="67" t="s">
        <v>2211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2055</v>
      </c>
      <c r="HC20" s="75">
        <v>827</v>
      </c>
      <c r="HF20" s="162" t="s">
        <v>1491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2212</v>
      </c>
      <c r="HL20" s="145" t="s">
        <v>2213</v>
      </c>
      <c r="HM20" s="15">
        <v>33.5</v>
      </c>
      <c r="HN20" s="63" t="s">
        <v>2057</v>
      </c>
      <c r="HO20" s="15">
        <v>1000</v>
      </c>
      <c r="HR20" s="162" t="s">
        <v>2214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1922</v>
      </c>
      <c r="IB20" s="220" t="s">
        <v>2215</v>
      </c>
      <c r="IC20" s="221">
        <v>626.70000000000005</v>
      </c>
      <c r="ID20" s="162" t="s">
        <v>1558</v>
      </c>
      <c r="IE20" s="178" t="s">
        <v>2216</v>
      </c>
      <c r="IF20" s="61" t="s">
        <v>2217</v>
      </c>
      <c r="IG20" s="43">
        <v>60000</v>
      </c>
      <c r="IH20" s="15" t="s">
        <v>2218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2217</v>
      </c>
      <c r="IM20" s="43">
        <v>60000</v>
      </c>
      <c r="IO20" s="211"/>
      <c r="IP20" s="162" t="s">
        <v>1810</v>
      </c>
      <c r="IQ20" s="41">
        <f>17.6+10+15.04+18.67+17.63+10+18.43+12.51+10+16.42</f>
        <v>146.30000000000001</v>
      </c>
      <c r="IR20" s="67" t="s">
        <v>2219</v>
      </c>
      <c r="IT20" s="186"/>
      <c r="IU20" s="204"/>
      <c r="IV20" s="162" t="s">
        <v>1810</v>
      </c>
      <c r="IW20" s="41">
        <f>15.7+10+18.29+10+10+15.09+18.53+17.55+15.01+10+16.79</f>
        <v>156.95999999999998</v>
      </c>
      <c r="IX20" s="47" t="s">
        <v>2220</v>
      </c>
      <c r="IY20" s="15">
        <v>190</v>
      </c>
      <c r="IZ20" s="186"/>
      <c r="JA20" s="204"/>
      <c r="JB20" s="162" t="s">
        <v>2221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2222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2223</v>
      </c>
      <c r="JS20" s="252">
        <v>15.42</v>
      </c>
      <c r="JT20" s="162" t="s">
        <v>2224</v>
      </c>
      <c r="JU20" s="41">
        <f>64+64+3</f>
        <v>131</v>
      </c>
      <c r="JV20" s="47" t="s">
        <v>2225</v>
      </c>
      <c r="JW20" s="92"/>
      <c r="JX20" s="42" t="s">
        <v>2226</v>
      </c>
      <c r="JY20" s="38">
        <v>27.05</v>
      </c>
      <c r="JZ20" s="155" t="s">
        <v>2227</v>
      </c>
      <c r="KA20" s="15">
        <v>10.87</v>
      </c>
      <c r="KB20" s="47" t="s">
        <v>2225</v>
      </c>
      <c r="KC20" s="43"/>
      <c r="KD20" s="42" t="s">
        <v>2228</v>
      </c>
      <c r="KE20" s="38" t="s">
        <v>2229</v>
      </c>
      <c r="KF20" s="145" t="s">
        <v>2230</v>
      </c>
      <c r="KG20" s="15">
        <v>135.69999999999999</v>
      </c>
      <c r="KH20" s="59" t="s">
        <v>2231</v>
      </c>
      <c r="KI20" s="15">
        <f>KH21-0.99*195000</f>
        <v>-242</v>
      </c>
      <c r="KJ20" s="42" t="s">
        <v>2232</v>
      </c>
      <c r="KK20" s="38">
        <v>33</v>
      </c>
      <c r="KL20" s="70" t="s">
        <v>2233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2234</v>
      </c>
      <c r="KY20" s="59">
        <f>466.26+15.92</f>
        <v>482.18</v>
      </c>
      <c r="KZ20" s="280">
        <v>191328</v>
      </c>
      <c r="LB20" s="59" t="s">
        <v>2235</v>
      </c>
      <c r="LC20" s="204">
        <v>35.44</v>
      </c>
      <c r="LD20" s="84" t="s">
        <v>2236</v>
      </c>
      <c r="LE20" s="59">
        <v>83.17</v>
      </c>
      <c r="LF20" s="61" t="s">
        <v>1639</v>
      </c>
      <c r="LG20" s="43">
        <v>843</v>
      </c>
      <c r="LH20" s="59" t="s">
        <v>2237</v>
      </c>
      <c r="LI20" s="38">
        <v>676.21</v>
      </c>
      <c r="LJ20" s="70" t="s">
        <v>2009</v>
      </c>
      <c r="LK20" s="38">
        <f>1291.31-LK21</f>
        <v>1154.33</v>
      </c>
      <c r="LL20" s="61" t="s">
        <v>1639</v>
      </c>
      <c r="LM20" s="43">
        <v>695</v>
      </c>
      <c r="LN20" s="59" t="s">
        <v>2238</v>
      </c>
      <c r="LO20" s="38">
        <v>36</v>
      </c>
      <c r="LP20" s="86" t="s">
        <v>2239</v>
      </c>
      <c r="LQ20" s="55">
        <f>38.8+16.8</f>
        <v>55.599999999999994</v>
      </c>
      <c r="LR20" s="59" t="s">
        <v>1572</v>
      </c>
      <c r="LS20" s="43">
        <v>2601</v>
      </c>
      <c r="LT20" s="59" t="s">
        <v>2240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2089</v>
      </c>
      <c r="LZ20" s="59" t="s">
        <v>2241</v>
      </c>
      <c r="MA20" s="41">
        <v>149.6</v>
      </c>
      <c r="MB20" s="317" t="s">
        <v>2242</v>
      </c>
      <c r="MC20" s="41">
        <v>22</v>
      </c>
      <c r="MD20" s="280">
        <v>192856</v>
      </c>
      <c r="ME20" s="15" t="s">
        <v>1959</v>
      </c>
      <c r="MF20" s="42" t="s">
        <v>2243</v>
      </c>
      <c r="MG20" s="41">
        <v>1.7</v>
      </c>
      <c r="MH20" s="317" t="s">
        <v>2244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2245</v>
      </c>
      <c r="MO20" s="41">
        <f>20+20+20</f>
        <v>60</v>
      </c>
      <c r="MP20" s="47" t="s">
        <v>1871</v>
      </c>
      <c r="MQ20" s="92">
        <v>-1735</v>
      </c>
      <c r="MR20" s="311" t="s">
        <v>2246</v>
      </c>
      <c r="MS20" s="318">
        <v>1275.27</v>
      </c>
      <c r="MT20" s="145" t="s">
        <v>1810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2247</v>
      </c>
      <c r="MY20" s="318">
        <v>94.9</v>
      </c>
      <c r="MZ20" s="317" t="s">
        <v>2248</v>
      </c>
      <c r="NA20" s="41">
        <v>29.6</v>
      </c>
      <c r="NB20" s="63" t="s">
        <v>1819</v>
      </c>
      <c r="NC20" s="165">
        <v>-40</v>
      </c>
      <c r="ND20" s="279"/>
      <c r="NE20" s="279"/>
      <c r="NF20" s="317" t="s">
        <v>2249</v>
      </c>
      <c r="NG20" s="41">
        <f>15+14.3</f>
        <v>29.3</v>
      </c>
      <c r="NH20" s="59" t="s">
        <v>2028</v>
      </c>
      <c r="NI20" s="243">
        <v>2600</v>
      </c>
      <c r="NJ20" s="15" t="s">
        <v>2250</v>
      </c>
      <c r="NK20" s="117">
        <f>1830*4</f>
        <v>7320</v>
      </c>
      <c r="NL20" s="317" t="s">
        <v>2251</v>
      </c>
      <c r="NM20" s="41">
        <v>36.9</v>
      </c>
      <c r="NN20" s="63" t="s">
        <v>1819</v>
      </c>
      <c r="NO20" s="165">
        <v>30</v>
      </c>
      <c r="NP20" s="42" t="s">
        <v>2252</v>
      </c>
      <c r="NQ20" s="41">
        <v>11.83</v>
      </c>
      <c r="NR20" s="317" t="s">
        <v>2253</v>
      </c>
      <c r="NS20" s="41">
        <v>30.5</v>
      </c>
      <c r="NT20" s="280">
        <v>189183</v>
      </c>
      <c r="NU20" s="15" t="s">
        <v>2254</v>
      </c>
      <c r="NV20" s="42" t="s">
        <v>2255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2256</v>
      </c>
      <c r="OC20" s="38">
        <f>9.23+639.97</f>
        <v>649.20000000000005</v>
      </c>
      <c r="OD20" s="317" t="s">
        <v>2257</v>
      </c>
      <c r="OE20" s="55">
        <v>425.17</v>
      </c>
      <c r="OF20" s="61" t="s">
        <v>2258</v>
      </c>
      <c r="OG20" s="43">
        <v>10</v>
      </c>
      <c r="OH20" s="47" t="s">
        <v>2029</v>
      </c>
      <c r="OI20" s="38">
        <f>34.4+0.81</f>
        <v>35.21</v>
      </c>
      <c r="OJ20" s="145" t="s">
        <v>1735</v>
      </c>
      <c r="OK20" s="41">
        <f>13.12</f>
        <v>13.12</v>
      </c>
      <c r="OL20" s="61" t="s">
        <v>2258</v>
      </c>
      <c r="OM20" s="43">
        <v>10</v>
      </c>
      <c r="ON20" s="341">
        <v>45703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1752</v>
      </c>
      <c r="L21" s="15">
        <v>0</v>
      </c>
      <c r="M21" s="651" t="s">
        <v>330</v>
      </c>
      <c r="N21" s="651"/>
      <c r="Q21" s="56" t="s">
        <v>355</v>
      </c>
      <c r="S21" s="651" t="s">
        <v>330</v>
      </c>
      <c r="T21" s="651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2260</v>
      </c>
      <c r="AD21" s="15">
        <v>0</v>
      </c>
      <c r="AE21" s="22" t="s">
        <v>2108</v>
      </c>
      <c r="AF21" s="53">
        <v>527</v>
      </c>
      <c r="AI21" s="65" t="s">
        <v>2260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2261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2262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2263</v>
      </c>
      <c r="CL21" s="53" t="s">
        <v>646</v>
      </c>
      <c r="CO21" s="87" t="s">
        <v>1841</v>
      </c>
      <c r="CP21" s="59" t="s">
        <v>2264</v>
      </c>
      <c r="CQ21" s="22" t="s">
        <v>2121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2265</v>
      </c>
      <c r="DJ21" s="90">
        <v>10000</v>
      </c>
      <c r="DK21" s="59" t="s">
        <v>2050</v>
      </c>
      <c r="DL21" s="42">
        <f>10027-10000</f>
        <v>27</v>
      </c>
      <c r="DM21" s="114" t="s">
        <v>1969</v>
      </c>
      <c r="DO21" s="22"/>
      <c r="DP21" s="90"/>
      <c r="DQ21" s="59" t="s">
        <v>1905</v>
      </c>
      <c r="DR21" s="55">
        <v>80.19</v>
      </c>
      <c r="DS21" s="86" t="s">
        <v>2266</v>
      </c>
      <c r="DT21" s="55">
        <f>6.5+15+171+12</f>
        <v>204.5</v>
      </c>
      <c r="DU21" s="22"/>
      <c r="DV21" s="90"/>
      <c r="DY21" s="64" t="s">
        <v>2267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2267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2268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2269</v>
      </c>
      <c r="EU21" s="92">
        <v>12000</v>
      </c>
      <c r="EV21" s="59" t="s">
        <v>2270</v>
      </c>
      <c r="EW21" s="15">
        <v>18</v>
      </c>
      <c r="EX21" s="162" t="s">
        <v>2132</v>
      </c>
      <c r="EY21" s="15">
        <f>64+64</f>
        <v>128</v>
      </c>
      <c r="EZ21" s="47" t="s">
        <v>2047</v>
      </c>
      <c r="FA21" s="92">
        <v>8000</v>
      </c>
      <c r="FB21" s="59" t="s">
        <v>2271</v>
      </c>
      <c r="FC21" s="629" t="s">
        <v>2272</v>
      </c>
      <c r="FD21" s="162" t="s">
        <v>1481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1481</v>
      </c>
      <c r="FK21" s="15">
        <v>9</v>
      </c>
      <c r="FL21" s="47" t="s">
        <v>2048</v>
      </c>
      <c r="FM21" s="92">
        <v>0</v>
      </c>
      <c r="FN21" s="569" t="s">
        <v>2273</v>
      </c>
      <c r="FO21" s="15">
        <v>4.68</v>
      </c>
      <c r="FP21" s="162" t="s">
        <v>1656</v>
      </c>
      <c r="FQ21" s="15">
        <f>15+6.5</f>
        <v>21.5</v>
      </c>
      <c r="FR21" s="47" t="s">
        <v>1768</v>
      </c>
      <c r="FS21" s="92">
        <v>15000</v>
      </c>
      <c r="FT21" s="569" t="s">
        <v>2274</v>
      </c>
      <c r="FU21" s="15">
        <v>200</v>
      </c>
      <c r="FV21" s="162" t="s">
        <v>2275</v>
      </c>
      <c r="FW21" s="15">
        <v>10.96</v>
      </c>
      <c r="FX21" s="47" t="s">
        <v>1694</v>
      </c>
      <c r="FY21" s="92">
        <v>3000</v>
      </c>
      <c r="FZ21" s="15" t="s">
        <v>2276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2209</v>
      </c>
      <c r="GM21" s="15">
        <f>819.61-808</f>
        <v>11.610000000000014</v>
      </c>
      <c r="GN21" s="162" t="s">
        <v>2208</v>
      </c>
      <c r="GO21" s="15">
        <v>111.54</v>
      </c>
      <c r="GP21" s="47" t="s">
        <v>2134</v>
      </c>
      <c r="GQ21" s="75">
        <v>33</v>
      </c>
      <c r="GR21" s="15" t="s">
        <v>2277</v>
      </c>
      <c r="GS21" s="18"/>
      <c r="GT21" s="162" t="s">
        <v>2278</v>
      </c>
      <c r="GU21" s="15">
        <f>9.01+15+6.5</f>
        <v>30.509999999999998</v>
      </c>
      <c r="GV21" s="47" t="s">
        <v>2206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2279</v>
      </c>
      <c r="HF21" s="162" t="s">
        <v>2280</v>
      </c>
      <c r="HG21" s="59">
        <v>85</v>
      </c>
      <c r="HH21" s="47" t="s">
        <v>2281</v>
      </c>
      <c r="HI21" s="92">
        <v>4000</v>
      </c>
      <c r="HK21" s="181"/>
      <c r="HL21" s="145" t="s">
        <v>2282</v>
      </c>
      <c r="HM21" s="15">
        <v>48.88</v>
      </c>
      <c r="HN21" s="47" t="s">
        <v>1562</v>
      </c>
      <c r="HO21" s="92">
        <v>3000</v>
      </c>
      <c r="HR21" s="162" t="s">
        <v>2283</v>
      </c>
      <c r="HS21" s="15">
        <v>64</v>
      </c>
      <c r="HT21" s="61" t="s">
        <v>2284</v>
      </c>
      <c r="HU21" s="15">
        <f>5000+5000+5000</f>
        <v>15000</v>
      </c>
      <c r="HW21" s="205"/>
      <c r="HX21" s="162" t="s">
        <v>1481</v>
      </c>
      <c r="HY21" s="15">
        <f>9</f>
        <v>9</v>
      </c>
      <c r="HZ21" s="61" t="s">
        <v>2066</v>
      </c>
      <c r="IA21" s="78">
        <v>345026.96</v>
      </c>
      <c r="IB21" s="222" t="s">
        <v>2215</v>
      </c>
      <c r="IC21" s="223">
        <v>598.5</v>
      </c>
      <c r="ID21" s="162" t="s">
        <v>2285</v>
      </c>
      <c r="IE21" s="15">
        <v>137.03</v>
      </c>
      <c r="IF21" s="61" t="s">
        <v>2286</v>
      </c>
      <c r="IG21" s="43">
        <v>50001</v>
      </c>
      <c r="IH21" s="15" t="s">
        <v>2287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2288</v>
      </c>
      <c r="IQ21" s="41">
        <v>30</v>
      </c>
      <c r="IR21" s="63" t="s">
        <v>2289</v>
      </c>
      <c r="IS21" s="15">
        <v>2007</v>
      </c>
      <c r="IT21" s="191"/>
      <c r="IV21" s="145" t="s">
        <v>2182</v>
      </c>
      <c r="IW21" s="41">
        <v>80</v>
      </c>
      <c r="IX21" s="63" t="s">
        <v>2289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2290</v>
      </c>
      <c r="JI21" s="41">
        <v>27</v>
      </c>
      <c r="JJ21" s="61" t="s">
        <v>2076</v>
      </c>
      <c r="JK21" s="243">
        <v>10</v>
      </c>
      <c r="JN21" s="162" t="s">
        <v>1810</v>
      </c>
      <c r="JO21" s="41">
        <f>11.94+10+20.54+17.31+14.45+15.78+10</f>
        <v>100.02</v>
      </c>
      <c r="JP21" s="47" t="s">
        <v>2225</v>
      </c>
      <c r="JQ21" s="43"/>
      <c r="JR21" s="253" t="s">
        <v>2291</v>
      </c>
      <c r="JS21" s="254">
        <f>783.33+1167.38+1493.5+2179.3</f>
        <v>5623.51</v>
      </c>
      <c r="JT21" s="162" t="s">
        <v>1936</v>
      </c>
      <c r="JU21" s="41">
        <v>6.97</v>
      </c>
      <c r="JV21" s="63" t="s">
        <v>2289</v>
      </c>
      <c r="JW21" s="43">
        <v>1000</v>
      </c>
      <c r="JX21" s="42" t="s">
        <v>2292</v>
      </c>
      <c r="JY21" s="38">
        <v>13.23</v>
      </c>
      <c r="JZ21" s="70" t="s">
        <v>1570</v>
      </c>
      <c r="KA21" s="211">
        <v>1347.2</v>
      </c>
      <c r="KB21" s="63" t="s">
        <v>2289</v>
      </c>
      <c r="KC21" s="43">
        <v>1000</v>
      </c>
      <c r="KD21" s="47" t="s">
        <v>2293</v>
      </c>
      <c r="KE21" s="204">
        <f>63.91+71.9+199.73+2.07</f>
        <v>337.60999999999996</v>
      </c>
      <c r="KF21" s="145" t="s">
        <v>2294</v>
      </c>
      <c r="KG21" s="99">
        <v>10</v>
      </c>
      <c r="KH21" s="280">
        <v>192808</v>
      </c>
      <c r="KJ21" s="42" t="s">
        <v>2295</v>
      </c>
      <c r="KK21" s="38">
        <v>20.67</v>
      </c>
      <c r="KL21" s="65" t="s">
        <v>1575</v>
      </c>
      <c r="KM21" s="41">
        <v>81.91</v>
      </c>
      <c r="KN21" s="59" t="s">
        <v>2296</v>
      </c>
      <c r="KO21" s="43">
        <f>KN22-0.99*195000</f>
        <v>-55900</v>
      </c>
      <c r="KP21" s="59" t="s">
        <v>2297</v>
      </c>
      <c r="KQ21" s="15">
        <v>1895.66</v>
      </c>
      <c r="KR21" s="65" t="s">
        <v>2298</v>
      </c>
      <c r="KS21" s="41">
        <v>30</v>
      </c>
      <c r="KT21" s="280">
        <v>192582</v>
      </c>
      <c r="KV21" s="59" t="s">
        <v>2299</v>
      </c>
      <c r="KW21" s="15">
        <v>546.92999999999995</v>
      </c>
      <c r="KX21" s="84" t="s">
        <v>2300</v>
      </c>
      <c r="KY21" s="59">
        <v>20.05</v>
      </c>
      <c r="KZ21" s="59" t="s">
        <v>1572</v>
      </c>
      <c r="LA21" s="43">
        <v>2600</v>
      </c>
      <c r="LB21" s="59" t="s">
        <v>2301</v>
      </c>
      <c r="LC21" s="15">
        <f>611.37+8.86</f>
        <v>620.23</v>
      </c>
      <c r="LD21" s="70" t="s">
        <v>1318</v>
      </c>
      <c r="LE21" s="211">
        <v>10300</v>
      </c>
      <c r="LF21" s="61" t="s">
        <v>1720</v>
      </c>
      <c r="LG21" s="300">
        <v>1832</v>
      </c>
      <c r="LH21" s="59" t="s">
        <v>2302</v>
      </c>
      <c r="LI21" s="15">
        <v>9.26</v>
      </c>
      <c r="LJ21" s="70" t="s">
        <v>1381</v>
      </c>
      <c r="LK21" s="54">
        <v>136.97999999999999</v>
      </c>
      <c r="LL21" s="61" t="s">
        <v>1720</v>
      </c>
      <c r="LM21" s="232">
        <v>282</v>
      </c>
      <c r="LN21" s="15" t="s">
        <v>1657</v>
      </c>
      <c r="LO21" s="38"/>
      <c r="LP21" s="70" t="s">
        <v>2303</v>
      </c>
      <c r="LQ21" s="54">
        <v>92.66</v>
      </c>
      <c r="LR21" s="61" t="s">
        <v>1639</v>
      </c>
      <c r="LS21" s="43">
        <v>841</v>
      </c>
      <c r="LT21" s="311" t="s">
        <v>2304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2305</v>
      </c>
      <c r="MA21" s="318">
        <f>74.6+18.65</f>
        <v>93.25</v>
      </c>
      <c r="MB21" s="317" t="s">
        <v>2306</v>
      </c>
      <c r="MC21" s="41">
        <v>7.5</v>
      </c>
      <c r="MD21" s="59" t="s">
        <v>2028</v>
      </c>
      <c r="ME21" s="43">
        <v>2600</v>
      </c>
      <c r="MF21" s="15" t="s">
        <v>1490</v>
      </c>
      <c r="MG21" s="41">
        <v>12.26</v>
      </c>
      <c r="MH21" s="317" t="s">
        <v>2307</v>
      </c>
      <c r="MI21" s="308">
        <v>2679.34</v>
      </c>
      <c r="MJ21" s="63" t="s">
        <v>1819</v>
      </c>
      <c r="MK21" s="165">
        <v>30</v>
      </c>
      <c r="ML21" s="311"/>
      <c r="MM21" s="318"/>
      <c r="MN21" s="317" t="s">
        <v>2308</v>
      </c>
      <c r="MO21" s="41">
        <f>4+5+10</f>
        <v>19</v>
      </c>
      <c r="MP21" s="63" t="s">
        <v>1819</v>
      </c>
      <c r="MQ21" s="165">
        <v>-20</v>
      </c>
      <c r="MR21" s="311" t="s">
        <v>2309</v>
      </c>
      <c r="MS21" s="318">
        <v>473.7</v>
      </c>
      <c r="MT21" s="317" t="s">
        <v>2310</v>
      </c>
      <c r="MU21" s="41">
        <v>60</v>
      </c>
      <c r="MV21" s="63" t="s">
        <v>1819</v>
      </c>
      <c r="MW21" s="165">
        <v>10.000999999999999</v>
      </c>
      <c r="MX21" s="67" t="s">
        <v>2311</v>
      </c>
      <c r="MY21" s="41">
        <v>81.81</v>
      </c>
      <c r="MZ21" s="317" t="s">
        <v>2312</v>
      </c>
      <c r="NA21" s="54">
        <v>30.5</v>
      </c>
      <c r="NB21" s="59" t="s">
        <v>2313</v>
      </c>
      <c r="NC21" s="43">
        <v>-306</v>
      </c>
      <c r="ND21" s="631" t="s">
        <v>2314</v>
      </c>
      <c r="NE21" s="631"/>
      <c r="NF21" s="317" t="s">
        <v>2315</v>
      </c>
      <c r="NG21" s="41">
        <v>16.7</v>
      </c>
      <c r="NH21" s="61" t="s">
        <v>2106</v>
      </c>
      <c r="NI21" s="43">
        <v>608</v>
      </c>
      <c r="NJ21" s="59" t="s">
        <v>2316</v>
      </c>
      <c r="NK21" s="41">
        <f>1840*2</f>
        <v>3680</v>
      </c>
      <c r="NL21" s="317" t="s">
        <v>2317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1810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2318</v>
      </c>
      <c r="OC21" s="38">
        <v>12.82</v>
      </c>
      <c r="OD21" s="317" t="s">
        <v>2319</v>
      </c>
      <c r="OE21" s="44">
        <v>206.43</v>
      </c>
      <c r="OF21" s="47" t="s">
        <v>2320</v>
      </c>
      <c r="OG21" s="43">
        <v>240</v>
      </c>
      <c r="OH21" s="47" t="s">
        <v>1742</v>
      </c>
      <c r="OI21" s="38">
        <f>212.33+76.44+42.47+0.64</f>
        <v>331.88</v>
      </c>
      <c r="OJ21" s="145" t="s">
        <v>1810</v>
      </c>
      <c r="OK21" s="41">
        <f>18.16+20.81+15.52+16.24+15.71+10</f>
        <v>96.44</v>
      </c>
      <c r="OL21" s="47" t="s">
        <v>2320</v>
      </c>
      <c r="OM21" s="43">
        <v>220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4" t="s">
        <v>2323</v>
      </c>
      <c r="N22" s="634"/>
      <c r="Q22" s="56" t="s">
        <v>364</v>
      </c>
      <c r="S22" s="634" t="s">
        <v>2323</v>
      </c>
      <c r="T22" s="634"/>
      <c r="W22" s="64" t="s">
        <v>1893</v>
      </c>
      <c r="X22" s="15">
        <v>0</v>
      </c>
      <c r="Y22" s="651" t="s">
        <v>330</v>
      </c>
      <c r="Z22" s="651"/>
      <c r="AC22" s="65" t="s">
        <v>2324</v>
      </c>
      <c r="AD22" s="15">
        <v>80.001000000000005</v>
      </c>
      <c r="AE22" s="22" t="s">
        <v>2121</v>
      </c>
      <c r="AF22" s="53" t="s">
        <v>1979</v>
      </c>
      <c r="AI22" s="65" t="s">
        <v>2324</v>
      </c>
      <c r="AJ22" s="59">
        <v>150</v>
      </c>
      <c r="AK22" s="22" t="s">
        <v>2121</v>
      </c>
      <c r="AL22" s="53" t="s">
        <v>1979</v>
      </c>
      <c r="AO22" s="64" t="s">
        <v>2035</v>
      </c>
      <c r="AP22" s="59">
        <v>0</v>
      </c>
      <c r="AQ22" s="22" t="s">
        <v>2121</v>
      </c>
      <c r="AR22" s="53">
        <v>20000</v>
      </c>
      <c r="AU22" s="64" t="s">
        <v>2035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1752</v>
      </c>
      <c r="BG22" s="22" t="s">
        <v>2121</v>
      </c>
      <c r="BH22" s="79">
        <v>19203.86</v>
      </c>
      <c r="BK22" s="86" t="s">
        <v>1752</v>
      </c>
      <c r="BL22" s="42" t="s">
        <v>646</v>
      </c>
      <c r="BM22" s="22" t="s">
        <v>2121</v>
      </c>
      <c r="BN22" s="79">
        <v>19203.86</v>
      </c>
      <c r="BQ22" s="86" t="s">
        <v>1752</v>
      </c>
      <c r="BR22" s="42" t="s">
        <v>646</v>
      </c>
      <c r="BS22" s="22" t="s">
        <v>2121</v>
      </c>
      <c r="BT22" s="23">
        <v>22203.86</v>
      </c>
      <c r="BW22" s="86" t="s">
        <v>1752</v>
      </c>
      <c r="BX22" s="42" t="s">
        <v>646</v>
      </c>
      <c r="BY22" s="22" t="s">
        <v>2325</v>
      </c>
      <c r="BZ22" s="53">
        <f>10000+4000</f>
        <v>14000</v>
      </c>
      <c r="CC22" s="86" t="s">
        <v>1752</v>
      </c>
      <c r="CD22" s="42" t="s">
        <v>646</v>
      </c>
      <c r="CE22" s="22" t="s">
        <v>2263</v>
      </c>
      <c r="CF22" s="53">
        <v>10000</v>
      </c>
      <c r="CI22" s="87" t="s">
        <v>2326</v>
      </c>
      <c r="CJ22" s="59">
        <v>91.86</v>
      </c>
      <c r="CK22" s="80" t="s">
        <v>1482</v>
      </c>
      <c r="CL22" s="97">
        <v>-20000</v>
      </c>
      <c r="CO22" s="87" t="s">
        <v>2327</v>
      </c>
      <c r="CP22" s="59">
        <v>57.34</v>
      </c>
      <c r="CQ22" s="80" t="s">
        <v>1482</v>
      </c>
      <c r="CR22" s="97">
        <v>-20000</v>
      </c>
      <c r="CS22" s="55" t="s">
        <v>2328</v>
      </c>
      <c r="CT22" s="55" t="s">
        <v>2329</v>
      </c>
      <c r="CU22" s="87" t="s">
        <v>2045</v>
      </c>
      <c r="CV22" s="59">
        <v>136.53</v>
      </c>
      <c r="CW22" s="80" t="s">
        <v>1482</v>
      </c>
      <c r="CX22" s="97">
        <v>-20000</v>
      </c>
      <c r="DA22" s="86" t="s">
        <v>2330</v>
      </c>
      <c r="DB22" s="59">
        <v>53.24</v>
      </c>
      <c r="DC22" s="22" t="s">
        <v>2031</v>
      </c>
      <c r="DD22" s="53">
        <v>45991</v>
      </c>
      <c r="DF22" s="59"/>
      <c r="DG22" s="112" t="s">
        <v>2331</v>
      </c>
      <c r="DH22" s="55" t="s">
        <v>646</v>
      </c>
      <c r="DI22" s="22" t="s">
        <v>2332</v>
      </c>
      <c r="DJ22" s="90">
        <v>10000</v>
      </c>
      <c r="DM22" s="114" t="s">
        <v>2333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2045</v>
      </c>
      <c r="DT22" s="55">
        <v>140.44999999999999</v>
      </c>
      <c r="DU22" s="22" t="s">
        <v>1692</v>
      </c>
      <c r="DV22" s="90">
        <v>5000</v>
      </c>
      <c r="EA22" s="22" t="s">
        <v>1769</v>
      </c>
      <c r="EB22" s="90">
        <v>5000</v>
      </c>
      <c r="EE22" s="145" t="s">
        <v>2334</v>
      </c>
      <c r="EF22" s="15">
        <v>10</v>
      </c>
      <c r="EH22" s="47" t="s">
        <v>2047</v>
      </c>
      <c r="EI22" s="92">
        <v>10000</v>
      </c>
      <c r="EJ22" s="15" t="s">
        <v>2335</v>
      </c>
      <c r="EK22" s="15">
        <v>33.71</v>
      </c>
      <c r="EL22" s="64" t="s">
        <v>2132</v>
      </c>
      <c r="EM22" s="15">
        <f>64+32</f>
        <v>96</v>
      </c>
      <c r="EN22" s="47" t="s">
        <v>1905</v>
      </c>
      <c r="EO22" s="92">
        <v>30000</v>
      </c>
      <c r="ER22" s="162" t="s">
        <v>2132</v>
      </c>
      <c r="ES22" s="15">
        <v>0</v>
      </c>
      <c r="ET22" s="47" t="s">
        <v>2336</v>
      </c>
      <c r="EU22" s="92">
        <v>13000</v>
      </c>
      <c r="EV22" s="59" t="s">
        <v>2337</v>
      </c>
      <c r="EW22" s="15">
        <f>4074+4965-9000</f>
        <v>39</v>
      </c>
      <c r="EX22" s="162" t="s">
        <v>2267</v>
      </c>
      <c r="EY22" s="15">
        <f>5.2+0.88+2.24+16.2+10+1.44+10.21+16.7+1.31+15.1+2.62+2.62+2.53+2.62+2.62+4.71</f>
        <v>97</v>
      </c>
      <c r="EZ22" s="47" t="s">
        <v>2269</v>
      </c>
      <c r="FA22" s="92">
        <v>2000</v>
      </c>
      <c r="FB22" s="59"/>
      <c r="FC22" s="629"/>
      <c r="FD22" s="162" t="s">
        <v>2267</v>
      </c>
      <c r="FE22" s="15">
        <f>2.62+4.71+2.62+13.99+15.65+7.92+10.66+6.21</f>
        <v>64.38</v>
      </c>
      <c r="FF22" s="47" t="s">
        <v>2269</v>
      </c>
      <c r="FG22" s="92">
        <v>2000</v>
      </c>
      <c r="FH22" s="59"/>
      <c r="FJ22" s="162" t="s">
        <v>2267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2132</v>
      </c>
      <c r="FQ22" s="15">
        <v>64</v>
      </c>
      <c r="FR22" s="47" t="s">
        <v>2047</v>
      </c>
      <c r="FS22" s="92" t="s">
        <v>1979</v>
      </c>
      <c r="FT22" s="15" t="s">
        <v>2338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1656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1656</v>
      </c>
      <c r="GI22" s="15">
        <f>13+30</f>
        <v>43</v>
      </c>
      <c r="GJ22" s="47" t="s">
        <v>2206</v>
      </c>
      <c r="GK22" s="92">
        <v>182</v>
      </c>
      <c r="GN22" s="162" t="s">
        <v>1701</v>
      </c>
      <c r="GO22" s="15">
        <v>140.44999999999999</v>
      </c>
      <c r="GP22" s="47" t="s">
        <v>2206</v>
      </c>
      <c r="GQ22" s="92">
        <v>2148</v>
      </c>
      <c r="GS22" s="18"/>
      <c r="GT22" s="162" t="s">
        <v>2275</v>
      </c>
      <c r="GU22" s="15">
        <v>10.96</v>
      </c>
      <c r="GV22" s="47" t="s">
        <v>1562</v>
      </c>
      <c r="GW22" s="92">
        <v>3000</v>
      </c>
      <c r="GZ22" s="162" t="s">
        <v>2339</v>
      </c>
      <c r="HA22" s="15">
        <f>10.96+9.01+6.5+15</f>
        <v>41.47</v>
      </c>
      <c r="HB22" s="47" t="s">
        <v>2206</v>
      </c>
      <c r="HC22" s="92">
        <v>0</v>
      </c>
      <c r="HD22" s="569" t="s">
        <v>2340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2341</v>
      </c>
      <c r="HM22" s="15">
        <v>115.9</v>
      </c>
      <c r="HN22" s="47" t="s">
        <v>1626</v>
      </c>
      <c r="HO22" s="92">
        <v>4000</v>
      </c>
      <c r="HR22" s="162" t="s">
        <v>2342</v>
      </c>
      <c r="HS22" s="15">
        <v>10</v>
      </c>
      <c r="HT22" s="61" t="s">
        <v>2343</v>
      </c>
      <c r="HU22" s="15">
        <f>5002+10000+5002+10002+5000</f>
        <v>35006</v>
      </c>
      <c r="HW22" s="181"/>
      <c r="HX22" s="162" t="s">
        <v>2344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2345</v>
      </c>
      <c r="II22" s="15">
        <f>9.86*4</f>
        <v>39.44</v>
      </c>
      <c r="IJ22" s="162" t="s">
        <v>2346</v>
      </c>
      <c r="IK22" s="15">
        <v>64</v>
      </c>
      <c r="IL22" s="61" t="s">
        <v>2150</v>
      </c>
      <c r="IM22" s="43">
        <v>2190</v>
      </c>
      <c r="IO22" s="211"/>
      <c r="IP22" s="145" t="s">
        <v>2347</v>
      </c>
      <c r="IQ22" s="41">
        <v>10</v>
      </c>
      <c r="IR22" s="67" t="s">
        <v>2348</v>
      </c>
      <c r="IT22" s="633" t="s">
        <v>2349</v>
      </c>
      <c r="IU22" s="633"/>
      <c r="IV22" s="145" t="s">
        <v>2350</v>
      </c>
      <c r="IW22" s="41">
        <v>42.51</v>
      </c>
      <c r="IX22" s="67" t="s">
        <v>2348</v>
      </c>
      <c r="IZ22" s="186"/>
      <c r="JA22" s="204"/>
      <c r="JB22" s="162" t="s">
        <v>1656</v>
      </c>
      <c r="JC22" s="41">
        <f>13+30</f>
        <v>43</v>
      </c>
      <c r="JD22" s="47" t="s">
        <v>2225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2351</v>
      </c>
      <c r="JO22" s="43">
        <v>2953</v>
      </c>
      <c r="JP22" s="63" t="s">
        <v>2289</v>
      </c>
      <c r="JQ22" s="43">
        <v>1000</v>
      </c>
      <c r="JR22" s="253" t="s">
        <v>2352</v>
      </c>
      <c r="JS22" s="254"/>
      <c r="JT22" s="162" t="s">
        <v>1810</v>
      </c>
      <c r="JU22" s="41">
        <f>17.57+15.78+10+10+16.81+16.4+1.52+17.15+1.19+10.85</f>
        <v>117.26999999999998</v>
      </c>
      <c r="JV22" s="67" t="s">
        <v>2348</v>
      </c>
      <c r="JW22" s="41"/>
      <c r="JX22" s="42" t="s">
        <v>2353</v>
      </c>
      <c r="JY22" s="38">
        <v>31.96</v>
      </c>
      <c r="JZ22" s="70" t="s">
        <v>2354</v>
      </c>
      <c r="KA22" s="211">
        <v>1322.98</v>
      </c>
      <c r="KB22" s="67" t="s">
        <v>2355</v>
      </c>
      <c r="KC22" s="41"/>
      <c r="KD22" s="59" t="s">
        <v>2356</v>
      </c>
      <c r="KE22" s="204">
        <f>7000*(1-98.14%)</f>
        <v>130.19999999999965</v>
      </c>
      <c r="KF22" s="145" t="s">
        <v>2357</v>
      </c>
      <c r="KG22" s="99">
        <v>38</v>
      </c>
      <c r="KH22" s="59" t="s">
        <v>1572</v>
      </c>
      <c r="KI22" s="43">
        <v>2600</v>
      </c>
      <c r="KJ22" s="42" t="s">
        <v>2358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2359</v>
      </c>
      <c r="KQ22" s="178">
        <v>2121.2199999999998</v>
      </c>
      <c r="KR22" s="65" t="s">
        <v>2360</v>
      </c>
      <c r="KS22" s="41">
        <v>100</v>
      </c>
      <c r="KT22" s="59" t="s">
        <v>1572</v>
      </c>
      <c r="KU22" s="43">
        <v>2600</v>
      </c>
      <c r="KV22" s="59" t="s">
        <v>2361</v>
      </c>
      <c r="KW22" s="15">
        <v>297.89999999999998</v>
      </c>
      <c r="KX22" s="84" t="s">
        <v>2362</v>
      </c>
      <c r="KY22" s="59">
        <v>399.3</v>
      </c>
      <c r="KZ22" s="61" t="s">
        <v>1639</v>
      </c>
      <c r="LA22" s="43">
        <v>656</v>
      </c>
      <c r="LB22" s="59" t="s">
        <v>2363</v>
      </c>
      <c r="LC22" s="15">
        <v>93.25</v>
      </c>
      <c r="LD22" s="70" t="s">
        <v>2009</v>
      </c>
      <c r="LE22" s="38">
        <f>1314-LE23</f>
        <v>1179</v>
      </c>
      <c r="LF22" s="61" t="s">
        <v>2364</v>
      </c>
      <c r="LG22" s="43">
        <v>10</v>
      </c>
      <c r="LH22" s="59" t="s">
        <v>2363</v>
      </c>
      <c r="LI22" s="15">
        <v>93.25</v>
      </c>
      <c r="LJ22" s="70" t="s">
        <v>2365</v>
      </c>
      <c r="LK22" s="55">
        <v>42.95</v>
      </c>
      <c r="LL22" s="61" t="s">
        <v>2364</v>
      </c>
      <c r="LM22" s="43">
        <v>10</v>
      </c>
      <c r="LN22" s="47" t="s">
        <v>2366</v>
      </c>
      <c r="LO22" s="38">
        <f>212.33+76.44+67.94</f>
        <v>356.71</v>
      </c>
      <c r="LP22" s="70" t="s">
        <v>2367</v>
      </c>
      <c r="LQ22" s="55">
        <v>153</v>
      </c>
      <c r="LR22" s="61" t="s">
        <v>1720</v>
      </c>
      <c r="LS22" s="232">
        <v>1531</v>
      </c>
      <c r="LT22" s="311" t="s">
        <v>2368</v>
      </c>
      <c r="LU22" s="311">
        <f>132.65*2</f>
        <v>265.3</v>
      </c>
      <c r="LV22" s="65" t="s">
        <v>1810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2369</v>
      </c>
      <c r="MC22" s="41">
        <v>41.37</v>
      </c>
      <c r="MD22" s="61" t="s">
        <v>1639</v>
      </c>
      <c r="ME22" s="43">
        <v>835</v>
      </c>
      <c r="MF22" s="279" t="s">
        <v>1728</v>
      </c>
      <c r="MG22" s="279"/>
      <c r="MH22" s="317" t="s">
        <v>2370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2371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2372</v>
      </c>
      <c r="MS22" s="318">
        <f>110.7*2</f>
        <v>221.4</v>
      </c>
      <c r="MT22" s="317" t="s">
        <v>2373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2374</v>
      </c>
      <c r="MY22" s="318">
        <v>101.1</v>
      </c>
      <c r="MZ22" s="317" t="s">
        <v>2375</v>
      </c>
      <c r="NA22" s="41">
        <f>30.5*2</f>
        <v>61</v>
      </c>
      <c r="NB22" s="280">
        <v>192745</v>
      </c>
      <c r="NC22" s="15" t="s">
        <v>1959</v>
      </c>
      <c r="ND22" s="631"/>
      <c r="NE22" s="631"/>
      <c r="NF22" s="317" t="s">
        <v>2376</v>
      </c>
      <c r="NG22" s="54">
        <f>34.5+30.5+32.5+36</f>
        <v>133.5</v>
      </c>
      <c r="NH22" s="61" t="s">
        <v>2377</v>
      </c>
      <c r="NI22" s="43">
        <v>528</v>
      </c>
      <c r="NJ22" s="311"/>
      <c r="NK22" s="318"/>
      <c r="NL22" s="317" t="s">
        <v>2378</v>
      </c>
      <c r="NM22" s="55">
        <v>43.7</v>
      </c>
      <c r="NN22" s="280">
        <v>192717</v>
      </c>
      <c r="NO22" s="15" t="s">
        <v>1959</v>
      </c>
      <c r="NP22" s="279"/>
      <c r="NQ22" s="279"/>
      <c r="NR22" s="317" t="s">
        <v>2379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2380</v>
      </c>
      <c r="NY22" s="41">
        <v>7.35</v>
      </c>
      <c r="NZ22" s="61" t="s">
        <v>2258</v>
      </c>
      <c r="OA22" s="43">
        <v>10</v>
      </c>
      <c r="OB22" s="15" t="s">
        <v>2381</v>
      </c>
      <c r="OC22" s="38">
        <v>31.47</v>
      </c>
      <c r="OD22" s="317" t="s">
        <v>1953</v>
      </c>
      <c r="OE22" s="41">
        <f>3.5+5</f>
        <v>8.5</v>
      </c>
      <c r="OF22" s="63" t="s">
        <v>2289</v>
      </c>
      <c r="OG22" s="43">
        <v>2000</v>
      </c>
      <c r="OH22" s="42" t="s">
        <v>2190</v>
      </c>
      <c r="OI22" s="38">
        <v>549.36</v>
      </c>
      <c r="OJ22" s="317" t="s">
        <v>2322</v>
      </c>
      <c r="OK22" s="55">
        <v>10</v>
      </c>
      <c r="OL22" s="63" t="s">
        <v>2289</v>
      </c>
      <c r="OM22" s="43">
        <v>2000</v>
      </c>
      <c r="ON22" s="341">
        <v>45691</v>
      </c>
    </row>
    <row r="23" spans="1:405">
      <c r="A23" s="651" t="s">
        <v>330</v>
      </c>
      <c r="B23" s="651"/>
      <c r="E23" s="570" t="s">
        <v>402</v>
      </c>
      <c r="F23" s="56"/>
      <c r="G23" s="651" t="s">
        <v>330</v>
      </c>
      <c r="H23" s="651"/>
      <c r="K23" s="64" t="s">
        <v>1893</v>
      </c>
      <c r="L23" s="15">
        <v>0</v>
      </c>
      <c r="M23" s="640"/>
      <c r="N23" s="640"/>
      <c r="Q23" s="56" t="s">
        <v>2109</v>
      </c>
      <c r="S23" s="640"/>
      <c r="T23" s="640"/>
      <c r="W23" s="64" t="s">
        <v>1629</v>
      </c>
      <c r="X23" s="59">
        <v>0</v>
      </c>
      <c r="Y23" s="634" t="s">
        <v>2323</v>
      </c>
      <c r="Z23" s="634"/>
      <c r="AE23" s="651" t="s">
        <v>330</v>
      </c>
      <c r="AF23" s="651"/>
      <c r="AK23" s="651" t="s">
        <v>330</v>
      </c>
      <c r="AL23" s="651"/>
      <c r="AO23" s="64" t="s">
        <v>1752</v>
      </c>
      <c r="AP23" s="15">
        <v>140</v>
      </c>
      <c r="AQ23" s="58" t="s">
        <v>330</v>
      </c>
      <c r="AR23" s="58"/>
      <c r="AU23" s="64" t="s">
        <v>1752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2384</v>
      </c>
      <c r="BR23" s="59">
        <v>121.05</v>
      </c>
      <c r="BS23" s="80" t="s">
        <v>2385</v>
      </c>
      <c r="BT23" s="93">
        <v>-20000</v>
      </c>
      <c r="BW23" s="87" t="s">
        <v>2033</v>
      </c>
      <c r="BX23" s="59" t="s">
        <v>663</v>
      </c>
      <c r="BY23" s="80" t="s">
        <v>1482</v>
      </c>
      <c r="BZ23" s="97">
        <v>-20000</v>
      </c>
      <c r="CC23" s="87" t="s">
        <v>2033</v>
      </c>
      <c r="CD23" s="59">
        <v>47.12</v>
      </c>
      <c r="CE23" s="80" t="s">
        <v>1482</v>
      </c>
      <c r="CF23" s="97">
        <v>-20000</v>
      </c>
      <c r="CI23" s="87" t="s">
        <v>2386</v>
      </c>
      <c r="CJ23" s="59">
        <v>72.42</v>
      </c>
      <c r="CK23" s="59" t="s">
        <v>2387</v>
      </c>
      <c r="CL23" s="99">
        <v>802</v>
      </c>
      <c r="CO23" s="87" t="s">
        <v>1656</v>
      </c>
      <c r="CP23" s="59">
        <v>13</v>
      </c>
      <c r="CQ23" s="67" t="s">
        <v>2387</v>
      </c>
      <c r="CR23" s="67">
        <f>802-791</f>
        <v>11</v>
      </c>
      <c r="CU23" s="87" t="s">
        <v>2330</v>
      </c>
      <c r="CV23" s="59">
        <v>53.24</v>
      </c>
      <c r="CW23" s="109" t="s">
        <v>2387</v>
      </c>
      <c r="CX23" s="53"/>
      <c r="DA23" s="86" t="s">
        <v>2388</v>
      </c>
      <c r="DB23" s="59">
        <v>64</v>
      </c>
      <c r="DC23" s="80" t="s">
        <v>1482</v>
      </c>
      <c r="DD23" s="97">
        <v>-20000</v>
      </c>
      <c r="DE23" s="55" t="s">
        <v>2389</v>
      </c>
      <c r="DF23" s="42">
        <f>7.1+13</f>
        <v>20.100000000000001</v>
      </c>
      <c r="DG23" s="113" t="s">
        <v>2390</v>
      </c>
      <c r="DH23" s="44">
        <v>35.630000000000003</v>
      </c>
      <c r="DI23" s="22" t="s">
        <v>2391</v>
      </c>
      <c r="DJ23" s="90">
        <v>10000</v>
      </c>
      <c r="DK23" s="59"/>
      <c r="DM23" s="114"/>
      <c r="DN23" s="55"/>
      <c r="DO23" s="22" t="s">
        <v>1769</v>
      </c>
      <c r="DP23" s="90">
        <v>5000</v>
      </c>
      <c r="DQ23" s="59"/>
      <c r="DS23" s="86" t="s">
        <v>2330</v>
      </c>
      <c r="DT23" s="55">
        <v>11</v>
      </c>
      <c r="DU23" s="22" t="s">
        <v>1769</v>
      </c>
      <c r="DV23" s="90">
        <v>5000</v>
      </c>
      <c r="DY23" s="145" t="s">
        <v>2392</v>
      </c>
      <c r="DZ23" s="15">
        <v>25</v>
      </c>
      <c r="EA23" s="22" t="s">
        <v>2393</v>
      </c>
      <c r="EB23" s="90">
        <v>5000</v>
      </c>
      <c r="EE23" s="645" t="s">
        <v>2394</v>
      </c>
      <c r="EF23" s="645"/>
      <c r="EH23" s="47" t="s">
        <v>2128</v>
      </c>
      <c r="EI23" s="92">
        <v>5000</v>
      </c>
      <c r="EL23" s="64" t="s">
        <v>2267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2267</v>
      </c>
      <c r="ES23" s="15">
        <f>7.48+6.15+3.6+2.24+10+2.24</f>
        <v>31.71</v>
      </c>
      <c r="ET23" s="47" t="s">
        <v>1910</v>
      </c>
      <c r="EU23" s="92">
        <v>10000</v>
      </c>
      <c r="EV23" s="59" t="s">
        <v>2395</v>
      </c>
      <c r="EW23" s="629" t="s">
        <v>2272</v>
      </c>
      <c r="EX23" s="145" t="s">
        <v>2396</v>
      </c>
      <c r="EY23" s="15">
        <f>6+3.65</f>
        <v>9.65</v>
      </c>
      <c r="EZ23" s="47" t="s">
        <v>2336</v>
      </c>
      <c r="FA23" s="92">
        <v>3000</v>
      </c>
      <c r="FB23" s="59"/>
      <c r="FC23" s="629"/>
      <c r="FD23" s="145" t="s">
        <v>2397</v>
      </c>
      <c r="FE23" s="15">
        <v>10</v>
      </c>
      <c r="FF23" s="47" t="s">
        <v>2336</v>
      </c>
      <c r="FG23" s="92">
        <v>3000</v>
      </c>
      <c r="FJ23" s="145" t="s">
        <v>2398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2204</v>
      </c>
      <c r="FQ23" s="15">
        <v>12</v>
      </c>
      <c r="FR23" s="47" t="s">
        <v>2269</v>
      </c>
      <c r="FS23" s="92">
        <v>2000</v>
      </c>
      <c r="FT23" s="569" t="s">
        <v>2135</v>
      </c>
      <c r="FV23" s="162" t="s">
        <v>2204</v>
      </c>
      <c r="FW23" s="15">
        <v>12</v>
      </c>
      <c r="FX23" s="47" t="s">
        <v>1976</v>
      </c>
      <c r="FY23" s="92">
        <v>25000</v>
      </c>
      <c r="GB23" s="162" t="s">
        <v>2275</v>
      </c>
      <c r="GC23" s="15">
        <v>10.96</v>
      </c>
      <c r="GD23" s="47" t="s">
        <v>1976</v>
      </c>
      <c r="GE23" s="92">
        <v>25000</v>
      </c>
      <c r="GF23" s="15" t="s">
        <v>2209</v>
      </c>
      <c r="GG23" s="15">
        <f>990.58-1001</f>
        <v>-10.419999999999959</v>
      </c>
      <c r="GH23" s="162" t="s">
        <v>2275</v>
      </c>
      <c r="GI23" s="15">
        <v>10.96</v>
      </c>
      <c r="GJ23" s="47" t="s">
        <v>1694</v>
      </c>
      <c r="GK23" s="92">
        <v>3000</v>
      </c>
      <c r="GN23" s="162" t="s">
        <v>1656</v>
      </c>
      <c r="GO23" s="15">
        <f>15+6.5+25.7</f>
        <v>47.2</v>
      </c>
      <c r="GP23" s="47" t="s">
        <v>1562</v>
      </c>
      <c r="GQ23" s="92">
        <v>3000</v>
      </c>
      <c r="GR23" s="569" t="s">
        <v>2399</v>
      </c>
      <c r="GT23" s="162" t="s">
        <v>2132</v>
      </c>
      <c r="GU23" s="15">
        <v>64</v>
      </c>
      <c r="GV23" s="47" t="s">
        <v>2281</v>
      </c>
      <c r="GW23" s="92">
        <v>4000</v>
      </c>
      <c r="GZ23" s="162" t="s">
        <v>2400</v>
      </c>
      <c r="HA23" s="15">
        <f>10+2.2</f>
        <v>12.2</v>
      </c>
      <c r="HB23" s="47" t="s">
        <v>1562</v>
      </c>
      <c r="HC23" s="92">
        <v>3000</v>
      </c>
      <c r="HD23" s="15" t="s">
        <v>2401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33" t="s">
        <v>2349</v>
      </c>
      <c r="HK23" s="633"/>
      <c r="HL23" s="145" t="s">
        <v>2402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2403</v>
      </c>
      <c r="HU23" s="15">
        <f>5002+10000+10000+5000</f>
        <v>30002</v>
      </c>
      <c r="HV23" s="633" t="s">
        <v>2349</v>
      </c>
      <c r="HW23" s="633"/>
      <c r="HX23" s="162" t="s">
        <v>2404</v>
      </c>
      <c r="HY23" s="15">
        <v>30</v>
      </c>
      <c r="HZ23" s="61" t="s">
        <v>2217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2405</v>
      </c>
      <c r="II23" s="15">
        <f>2.74+2.52+1.19*2</f>
        <v>7.64</v>
      </c>
      <c r="IJ23" s="162" t="s">
        <v>1810</v>
      </c>
      <c r="IK23" s="190">
        <f>20.75+15.85+16.8+10+21.56+17.42+14.05+10</f>
        <v>126.43</v>
      </c>
      <c r="IL23" s="47" t="s">
        <v>2406</v>
      </c>
      <c r="IM23" s="15">
        <v>150</v>
      </c>
      <c r="IO23" s="211"/>
      <c r="IP23" s="145" t="s">
        <v>2407</v>
      </c>
      <c r="IQ23" s="41">
        <v>80</v>
      </c>
      <c r="IR23" s="67" t="s">
        <v>2355</v>
      </c>
      <c r="IS23" s="95"/>
      <c r="IT23" s="161" t="s">
        <v>1226</v>
      </c>
      <c r="IU23" s="89">
        <f>SUM(IW7:IW9)</f>
        <v>3911.02</v>
      </c>
      <c r="IV23" s="145" t="s">
        <v>2408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2289</v>
      </c>
      <c r="JE23" s="15">
        <v>1000</v>
      </c>
      <c r="JF23" s="186"/>
      <c r="JG23" s="204"/>
      <c r="JH23" s="246" t="s">
        <v>2409</v>
      </c>
      <c r="JI23" s="99">
        <v>4.05</v>
      </c>
      <c r="JJ23" s="47" t="s">
        <v>2225</v>
      </c>
      <c r="JL23" s="186"/>
      <c r="JM23" s="204"/>
      <c r="JN23" s="145" t="s">
        <v>2410</v>
      </c>
      <c r="JO23" s="41">
        <v>50.23</v>
      </c>
      <c r="JP23" s="67" t="s">
        <v>2348</v>
      </c>
      <c r="JQ23" s="43"/>
      <c r="JS23" s="204"/>
      <c r="JT23" s="145" t="s">
        <v>2411</v>
      </c>
      <c r="JU23" s="41">
        <v>10</v>
      </c>
      <c r="JV23" s="67" t="s">
        <v>2355</v>
      </c>
      <c r="JW23" s="41"/>
      <c r="JX23" s="47" t="s">
        <v>2412</v>
      </c>
      <c r="JY23" s="38">
        <f>85.99+30.96</f>
        <v>116.94999999999999</v>
      </c>
      <c r="JZ23" s="70" t="s">
        <v>2413</v>
      </c>
      <c r="KA23" s="211">
        <v>1730.87</v>
      </c>
      <c r="KB23" s="67" t="s">
        <v>2348</v>
      </c>
      <c r="KC23" s="41"/>
      <c r="KD23" s="59" t="s">
        <v>2414</v>
      </c>
      <c r="KE23" s="15">
        <f>1660.5+1107</f>
        <v>2767.5</v>
      </c>
      <c r="KF23" s="145" t="s">
        <v>2415</v>
      </c>
      <c r="KG23" s="99">
        <v>25.9</v>
      </c>
      <c r="KH23" s="61" t="s">
        <v>1639</v>
      </c>
      <c r="KI23" s="43">
        <v>1</v>
      </c>
      <c r="KJ23" s="42" t="s">
        <v>2416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2417</v>
      </c>
      <c r="KQ23" s="178">
        <v>2597.87</v>
      </c>
      <c r="KR23" s="65" t="s">
        <v>2418</v>
      </c>
      <c r="KS23" s="44">
        <v>109.75</v>
      </c>
      <c r="KT23" s="61" t="s">
        <v>1639</v>
      </c>
      <c r="KU23" s="43">
        <v>1238</v>
      </c>
      <c r="KV23" s="59" t="s">
        <v>2363</v>
      </c>
      <c r="KW23" s="15">
        <f>5000*(1-0.9813)</f>
        <v>93.500000000000256</v>
      </c>
      <c r="KX23" s="84" t="s">
        <v>2419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2420</v>
      </c>
      <c r="LC23" s="15">
        <v>93</v>
      </c>
      <c r="LD23" s="70" t="s">
        <v>1381</v>
      </c>
      <c r="LE23" s="54">
        <v>135</v>
      </c>
      <c r="LF23" s="47" t="s">
        <v>2320</v>
      </c>
      <c r="LG23" s="43">
        <v>160</v>
      </c>
      <c r="LH23" s="59" t="s">
        <v>2421</v>
      </c>
      <c r="LI23" s="38">
        <v>92.25</v>
      </c>
      <c r="LJ23" s="65" t="s">
        <v>1575</v>
      </c>
      <c r="LK23" s="41">
        <v>40.950000000000003</v>
      </c>
      <c r="LL23" s="47" t="s">
        <v>2320</v>
      </c>
      <c r="LM23" s="43">
        <v>210</v>
      </c>
      <c r="LN23" s="42" t="s">
        <v>2422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2364</v>
      </c>
      <c r="LS23" s="43">
        <v>10</v>
      </c>
      <c r="LT23" s="311"/>
      <c r="LU23" s="311"/>
      <c r="LV23" s="145" t="s">
        <v>2423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2424</v>
      </c>
      <c r="MC23" s="41">
        <v>39.4</v>
      </c>
      <c r="MD23" s="61" t="s">
        <v>1720</v>
      </c>
      <c r="ME23" s="232">
        <v>608</v>
      </c>
      <c r="MF23" s="59" t="s">
        <v>2425</v>
      </c>
      <c r="MG23" s="41">
        <v>110.7</v>
      </c>
      <c r="MH23" s="317" t="s">
        <v>2426</v>
      </c>
      <c r="MI23" s="41">
        <v>22.15</v>
      </c>
      <c r="MJ23" s="280">
        <v>192435</v>
      </c>
      <c r="MK23" s="15" t="s">
        <v>1959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1959</v>
      </c>
      <c r="MR23" s="311" t="s">
        <v>2427</v>
      </c>
      <c r="MS23" s="318">
        <v>181.5</v>
      </c>
      <c r="MT23" s="317" t="s">
        <v>2428</v>
      </c>
      <c r="MU23" s="41">
        <v>33.33</v>
      </c>
      <c r="MV23" s="280">
        <v>193051</v>
      </c>
      <c r="MW23" s="15" t="s">
        <v>1959</v>
      </c>
      <c r="MX23" s="311" t="s">
        <v>2429</v>
      </c>
      <c r="MY23" s="318">
        <v>87.97</v>
      </c>
      <c r="MZ23" s="317" t="s">
        <v>2430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2431</v>
      </c>
      <c r="NG23" s="55">
        <f>35.7+7.7</f>
        <v>43.400000000000006</v>
      </c>
      <c r="NH23" s="61" t="s">
        <v>2258</v>
      </c>
      <c r="NI23" s="43">
        <v>10</v>
      </c>
      <c r="NJ23" s="45" t="s">
        <v>2432</v>
      </c>
      <c r="NK23" s="305"/>
      <c r="NL23" s="56" t="s">
        <v>2433</v>
      </c>
      <c r="NM23" s="41"/>
      <c r="NN23" s="59" t="s">
        <v>2028</v>
      </c>
      <c r="NO23" s="43">
        <v>2600</v>
      </c>
      <c r="NP23" s="279"/>
      <c r="NQ23" s="279"/>
      <c r="NR23" s="317" t="s">
        <v>2434</v>
      </c>
      <c r="NS23" s="41">
        <f>34.7+18.8</f>
        <v>53.5</v>
      </c>
      <c r="NT23" s="61" t="s">
        <v>2377</v>
      </c>
      <c r="NU23" s="43">
        <v>2135</v>
      </c>
      <c r="NV23" s="279"/>
      <c r="NW23" s="279"/>
      <c r="NX23" s="334" t="s">
        <v>2435</v>
      </c>
      <c r="NY23" s="41">
        <f>5.52</f>
        <v>5.52</v>
      </c>
      <c r="NZ23" s="47" t="s">
        <v>2320</v>
      </c>
      <c r="OA23" s="43">
        <v>90</v>
      </c>
      <c r="OB23" s="47" t="s">
        <v>2029</v>
      </c>
      <c r="OC23" s="38">
        <f>33.5+1.7+0.1</f>
        <v>35.300000000000004</v>
      </c>
      <c r="OD23" s="317" t="s">
        <v>2436</v>
      </c>
      <c r="OE23" s="55">
        <v>30</v>
      </c>
      <c r="OF23" s="207">
        <v>7968</v>
      </c>
      <c r="OG23" s="43" t="s">
        <v>2437</v>
      </c>
      <c r="OH23" s="42" t="s">
        <v>2259</v>
      </c>
      <c r="OI23" s="38">
        <v>9.99</v>
      </c>
      <c r="OJ23" s="317" t="s">
        <v>2383</v>
      </c>
      <c r="OK23" s="55">
        <v>1874.32</v>
      </c>
      <c r="OL23" s="207">
        <v>7349</v>
      </c>
      <c r="OM23" s="43" t="s">
        <v>2437</v>
      </c>
      <c r="ON23" s="341">
        <v>45705</v>
      </c>
    </row>
    <row r="24" spans="1:405">
      <c r="A24" s="634" t="s">
        <v>2323</v>
      </c>
      <c r="B24" s="634"/>
      <c r="E24" s="570" t="s">
        <v>271</v>
      </c>
      <c r="F24" s="56"/>
      <c r="G24" s="634" t="s">
        <v>2323</v>
      </c>
      <c r="H24" s="634"/>
      <c r="K24" s="64" t="s">
        <v>1629</v>
      </c>
      <c r="L24" s="59">
        <v>0</v>
      </c>
      <c r="M24" s="640"/>
      <c r="N24" s="640"/>
      <c r="Q24" s="64" t="s">
        <v>1752</v>
      </c>
      <c r="R24" s="15">
        <v>0</v>
      </c>
      <c r="S24" s="640"/>
      <c r="T24" s="640"/>
      <c r="W24" s="64" t="s">
        <v>2439</v>
      </c>
      <c r="X24" s="15">
        <v>910.17</v>
      </c>
      <c r="Y24" s="640"/>
      <c r="Z24" s="640"/>
      <c r="AC24" s="71" t="s">
        <v>2440</v>
      </c>
      <c r="AD24" s="15">
        <v>90</v>
      </c>
      <c r="AE24" s="634" t="s">
        <v>2323</v>
      </c>
      <c r="AF24" s="634"/>
      <c r="AI24" s="70" t="s">
        <v>2441</v>
      </c>
      <c r="AJ24" s="15">
        <v>30</v>
      </c>
      <c r="AK24" s="634" t="s">
        <v>2323</v>
      </c>
      <c r="AL24" s="634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4"/>
      <c r="BH24" s="634"/>
      <c r="BK24" s="87" t="s">
        <v>2443</v>
      </c>
      <c r="BL24" s="59">
        <v>48.54</v>
      </c>
      <c r="BM24" s="634"/>
      <c r="BN24" s="634"/>
      <c r="BQ24" s="87" t="s">
        <v>2111</v>
      </c>
      <c r="BR24" s="59">
        <v>50.15</v>
      </c>
      <c r="BS24" s="634" t="s">
        <v>2444</v>
      </c>
      <c r="BT24" s="634"/>
      <c r="BW24" s="87" t="s">
        <v>2111</v>
      </c>
      <c r="BX24" s="59">
        <v>48.54</v>
      </c>
      <c r="BY24" s="634"/>
      <c r="BZ24" s="634"/>
      <c r="CC24" s="87" t="s">
        <v>2111</v>
      </c>
      <c r="CD24" s="59">
        <v>142.91</v>
      </c>
      <c r="CE24" s="634"/>
      <c r="CF24" s="634"/>
      <c r="CI24" s="87" t="s">
        <v>2445</v>
      </c>
      <c r="CJ24" s="59">
        <v>35.049999999999997</v>
      </c>
      <c r="CK24" s="640"/>
      <c r="CL24" s="640"/>
      <c r="CO24" s="87" t="s">
        <v>2045</v>
      </c>
      <c r="CP24" s="59">
        <v>153.41</v>
      </c>
      <c r="CQ24" s="640" t="s">
        <v>2446</v>
      </c>
      <c r="CR24" s="640"/>
      <c r="CU24" s="87" t="s">
        <v>2388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2387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2393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2393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2200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29"/>
      <c r="EX24" s="145" t="s">
        <v>2460</v>
      </c>
      <c r="EY24" s="15">
        <v>10</v>
      </c>
      <c r="EZ24" s="47" t="s">
        <v>2336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2336</v>
      </c>
      <c r="FG24" s="92">
        <v>1000</v>
      </c>
      <c r="FJ24" s="145" t="s">
        <v>2462</v>
      </c>
      <c r="FK24" s="15">
        <v>60.14</v>
      </c>
      <c r="FL24" s="47" t="s">
        <v>2269</v>
      </c>
      <c r="FM24" s="92">
        <v>2000</v>
      </c>
      <c r="FN24" s="59"/>
      <c r="FO24" s="62"/>
      <c r="FP24" s="162" t="s">
        <v>1481</v>
      </c>
      <c r="FQ24" s="15">
        <v>9</v>
      </c>
      <c r="FR24" s="47" t="s">
        <v>2336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2269</v>
      </c>
      <c r="FY24" s="92">
        <v>2000</v>
      </c>
      <c r="GB24" s="162" t="s">
        <v>2465</v>
      </c>
      <c r="GC24" s="15">
        <v>64</v>
      </c>
      <c r="GD24" s="47" t="s">
        <v>2269</v>
      </c>
      <c r="GE24" s="92">
        <v>2000</v>
      </c>
      <c r="GF24" s="15" t="s">
        <v>2466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2275</v>
      </c>
      <c r="GO24" s="15">
        <v>10.96</v>
      </c>
      <c r="GP24" s="47" t="s">
        <v>2281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2281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2200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2128</v>
      </c>
      <c r="HO24" s="92">
        <v>2000</v>
      </c>
      <c r="HQ24" s="181"/>
      <c r="HR24" s="145" t="s">
        <v>2469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2286</v>
      </c>
      <c r="IA24" s="43">
        <v>160001.65</v>
      </c>
      <c r="IB24" s="191"/>
      <c r="ID24" s="162" t="s">
        <v>1481</v>
      </c>
      <c r="IE24" s="15">
        <f>9</f>
        <v>9</v>
      </c>
      <c r="IF24" s="63" t="s">
        <v>2057</v>
      </c>
      <c r="IG24" s="15">
        <v>1002</v>
      </c>
      <c r="IJ24" s="145" t="s">
        <v>2470</v>
      </c>
      <c r="IK24" s="15">
        <v>60</v>
      </c>
      <c r="IL24" s="63" t="s">
        <v>2289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2069</v>
      </c>
      <c r="JC24" s="41">
        <v>96</v>
      </c>
      <c r="JD24" s="67"/>
      <c r="JF24" s="186"/>
      <c r="JG24" s="204"/>
      <c r="JH24" s="162" t="s">
        <v>1810</v>
      </c>
      <c r="JI24" s="41">
        <f>15.55+10+15.6+17.36+16.4+10+14.01+16.99+15.65</f>
        <v>131.56</v>
      </c>
      <c r="JJ24" s="63" t="s">
        <v>2289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2432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1720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1936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1720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2364</v>
      </c>
      <c r="LA24" s="43">
        <v>10</v>
      </c>
      <c r="LC24" s="47"/>
      <c r="LD24" s="70" t="s">
        <v>2486</v>
      </c>
      <c r="LE24" s="54">
        <v>176.86</v>
      </c>
      <c r="LF24" s="63" t="s">
        <v>2289</v>
      </c>
      <c r="LG24" s="43">
        <v>1000</v>
      </c>
      <c r="LH24" s="59"/>
      <c r="LJ24" s="65" t="s">
        <v>2487</v>
      </c>
      <c r="LK24" s="44">
        <v>152.15</v>
      </c>
      <c r="LL24" s="63" t="s">
        <v>2289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2320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2364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2364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2028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2028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2320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2258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2289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2321</v>
      </c>
      <c r="OI24" s="38">
        <v>19.91</v>
      </c>
      <c r="OJ24" s="317" t="s">
        <v>1890</v>
      </c>
      <c r="OK24" s="44"/>
      <c r="OL24" s="207"/>
      <c r="OM24" s="43" t="s">
        <v>2505</v>
      </c>
    </row>
    <row r="25" spans="1:405">
      <c r="A25" s="640"/>
      <c r="B25" s="640"/>
      <c r="E25" s="569" t="s">
        <v>386</v>
      </c>
      <c r="F25" s="51"/>
      <c r="G25" s="640"/>
      <c r="H25" s="640"/>
      <c r="K25" s="64" t="s">
        <v>2508</v>
      </c>
      <c r="L25" s="15">
        <f>910+40</f>
        <v>950</v>
      </c>
      <c r="M25" s="640"/>
      <c r="N25" s="640"/>
      <c r="Q25" s="64" t="s">
        <v>1823</v>
      </c>
      <c r="R25" s="15">
        <v>0</v>
      </c>
      <c r="S25" s="640"/>
      <c r="T25" s="640"/>
      <c r="W25" s="65" t="s">
        <v>2509</v>
      </c>
      <c r="X25" s="15">
        <v>110.58</v>
      </c>
      <c r="Y25" s="640"/>
      <c r="Z25" s="640"/>
      <c r="AE25" s="640"/>
      <c r="AF25" s="640"/>
      <c r="AK25" s="640"/>
      <c r="AL25" s="640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40"/>
      <c r="AX25" s="640"/>
      <c r="AY25" s="65"/>
      <c r="AZ25" s="59"/>
      <c r="BA25" s="640"/>
      <c r="BB25" s="640"/>
      <c r="BE25" s="65" t="s">
        <v>1656</v>
      </c>
      <c r="BF25" s="59">
        <f>6.5*2</f>
        <v>13</v>
      </c>
      <c r="BG25" s="640"/>
      <c r="BH25" s="640"/>
      <c r="BK25" s="87" t="s">
        <v>1656</v>
      </c>
      <c r="BL25" s="59">
        <f>6.5*2</f>
        <v>13</v>
      </c>
      <c r="BM25" s="640"/>
      <c r="BN25" s="640"/>
      <c r="BQ25" s="87" t="s">
        <v>1656</v>
      </c>
      <c r="BR25" s="59">
        <v>13</v>
      </c>
      <c r="BS25" s="640"/>
      <c r="BT25" s="640"/>
      <c r="BW25" s="87" t="s">
        <v>1656</v>
      </c>
      <c r="BX25" s="59">
        <v>13</v>
      </c>
      <c r="BY25" s="640"/>
      <c r="BZ25" s="640"/>
      <c r="CC25" s="87" t="s">
        <v>1656</v>
      </c>
      <c r="CD25" s="59">
        <v>13</v>
      </c>
      <c r="CE25" s="640"/>
      <c r="CF25" s="640"/>
      <c r="CI25" s="87" t="s">
        <v>1656</v>
      </c>
      <c r="CJ25" s="59">
        <v>13</v>
      </c>
      <c r="CK25" s="569" t="s">
        <v>372</v>
      </c>
      <c r="CO25" s="87" t="s">
        <v>2330</v>
      </c>
      <c r="CP25" s="59">
        <v>53.24</v>
      </c>
      <c r="CQ25" s="67"/>
      <c r="CR25" s="67"/>
      <c r="CU25" s="87" t="s">
        <v>2324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1904</v>
      </c>
      <c r="DN25" s="55"/>
      <c r="DO25" s="22" t="s">
        <v>2456</v>
      </c>
      <c r="DP25" s="90">
        <v>5000</v>
      </c>
      <c r="DS25" s="86" t="s">
        <v>2132</v>
      </c>
      <c r="DT25" s="55">
        <v>64</v>
      </c>
      <c r="DU25" s="22" t="s">
        <v>2456</v>
      </c>
      <c r="DV25" s="90">
        <v>5000</v>
      </c>
      <c r="DY25" s="646" t="s">
        <v>2394</v>
      </c>
      <c r="DZ25" s="647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45" t="s">
        <v>2394</v>
      </c>
      <c r="ES25" s="645"/>
      <c r="ET25" s="47" t="s">
        <v>1977</v>
      </c>
      <c r="EU25" s="92">
        <v>20000</v>
      </c>
      <c r="EW25" s="629"/>
      <c r="EX25" s="145" t="s">
        <v>2520</v>
      </c>
      <c r="EY25" s="15">
        <v>40.299999999999997</v>
      </c>
      <c r="EZ25" s="47" t="s">
        <v>1910</v>
      </c>
      <c r="FA25" s="92">
        <v>10000</v>
      </c>
      <c r="FB25" s="59"/>
      <c r="FD25" s="145" t="s">
        <v>2521</v>
      </c>
      <c r="FE25" s="15">
        <v>33.9</v>
      </c>
      <c r="FF25" s="47" t="s">
        <v>1910</v>
      </c>
      <c r="FG25" s="92">
        <v>15000</v>
      </c>
      <c r="FJ25" s="145" t="s">
        <v>2522</v>
      </c>
      <c r="FK25" s="15">
        <v>7.3</v>
      </c>
      <c r="FL25" s="47" t="s">
        <v>2336</v>
      </c>
      <c r="FM25" s="92">
        <v>3000</v>
      </c>
      <c r="FN25" s="59"/>
      <c r="FO25" s="62"/>
      <c r="FP25" s="162" t="s">
        <v>2267</v>
      </c>
      <c r="FQ25" s="15">
        <f>7.74+13.99+8.86+10.74+6.17</f>
        <v>47.5</v>
      </c>
      <c r="FR25" s="47" t="s">
        <v>2336</v>
      </c>
      <c r="FS25" s="92">
        <v>1000</v>
      </c>
      <c r="FT25" s="15" t="s">
        <v>2205</v>
      </c>
      <c r="FU25" s="15">
        <f>1346.59-FU20</f>
        <v>146.58999999999992</v>
      </c>
      <c r="FV25" s="162" t="s">
        <v>2267</v>
      </c>
      <c r="FW25" s="15">
        <f>15.09+8.94+6.74+13.3+10+14.76</f>
        <v>68.830000000000013</v>
      </c>
      <c r="FX25" s="47" t="s">
        <v>2336</v>
      </c>
      <c r="FY25" s="92">
        <v>3000</v>
      </c>
      <c r="GB25" s="162" t="s">
        <v>2523</v>
      </c>
      <c r="GC25" s="15">
        <v>6</v>
      </c>
      <c r="GD25" s="47" t="s">
        <v>2336</v>
      </c>
      <c r="GE25" s="92">
        <v>3000</v>
      </c>
      <c r="GH25" s="162" t="s">
        <v>2524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2199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1706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1844</v>
      </c>
      <c r="HI25" s="92" t="s">
        <v>1979</v>
      </c>
      <c r="HJ25" s="169" t="s">
        <v>1286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2200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1286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33" t="s">
        <v>2349</v>
      </c>
      <c r="IC25" s="633"/>
      <c r="ID25" s="162" t="s">
        <v>2346</v>
      </c>
      <c r="IE25" s="15">
        <v>32</v>
      </c>
      <c r="IF25" s="63" t="s">
        <v>2533</v>
      </c>
      <c r="IG25" s="15">
        <v>4</v>
      </c>
      <c r="IH25" s="15" t="s">
        <v>1854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1277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1810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2355</v>
      </c>
      <c r="JN25" s="145" t="s">
        <v>2540</v>
      </c>
      <c r="JO25" s="41">
        <v>16.100000000000001</v>
      </c>
      <c r="JP25" s="67" t="s">
        <v>2355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2002</v>
      </c>
      <c r="KI25" s="43" t="s">
        <v>1740</v>
      </c>
      <c r="KJ25" s="59" t="s">
        <v>2543</v>
      </c>
      <c r="KK25" s="15">
        <f>20000*(1-0.97971)</f>
        <v>405.80000000000058</v>
      </c>
      <c r="KL25" s="65" t="s">
        <v>1810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2364</v>
      </c>
      <c r="KU25" s="43">
        <v>10</v>
      </c>
      <c r="KV25" s="59"/>
      <c r="KX25" s="70" t="s">
        <v>1381</v>
      </c>
      <c r="KY25" s="78">
        <v>142.22</v>
      </c>
      <c r="KZ25" s="47" t="s">
        <v>2320</v>
      </c>
      <c r="LA25" s="43">
        <v>90</v>
      </c>
      <c r="LD25" s="65" t="s">
        <v>1575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2289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2320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2320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2376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2377</v>
      </c>
      <c r="NC25" s="43">
        <v>1082</v>
      </c>
      <c r="ND25" s="45" t="s">
        <v>2432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2377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2320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2437</v>
      </c>
      <c r="OB25" s="42" t="s">
        <v>2438</v>
      </c>
      <c r="OC25" s="41">
        <v>10.45</v>
      </c>
      <c r="OD25" s="317" t="s">
        <v>2560</v>
      </c>
      <c r="OE25" s="55">
        <v>8.9</v>
      </c>
      <c r="OF25" s="67" t="s">
        <v>2474</v>
      </c>
      <c r="OG25" s="43"/>
      <c r="OH25" s="15" t="s">
        <v>2382</v>
      </c>
      <c r="OI25" s="41">
        <v>12.37</v>
      </c>
      <c r="OJ25" s="317" t="s">
        <v>2507</v>
      </c>
      <c r="OK25" s="15">
        <v>3.5</v>
      </c>
      <c r="OL25" s="67" t="s">
        <v>2474</v>
      </c>
      <c r="OM25" s="43"/>
    </row>
    <row r="26" spans="1:405">
      <c r="A26" s="640"/>
      <c r="B26" s="640"/>
      <c r="F26" s="60"/>
      <c r="G26" s="640"/>
      <c r="H26" s="640"/>
      <c r="M26" s="644" t="s">
        <v>372</v>
      </c>
      <c r="N26" s="640"/>
      <c r="Q26" s="64" t="s">
        <v>1893</v>
      </c>
      <c r="R26" s="15">
        <v>0</v>
      </c>
      <c r="S26" s="644" t="s">
        <v>372</v>
      </c>
      <c r="T26" s="640"/>
      <c r="W26" s="65" t="s">
        <v>2111</v>
      </c>
      <c r="X26" s="15">
        <v>60.75</v>
      </c>
      <c r="Y26" s="640"/>
      <c r="Z26" s="640"/>
      <c r="AC26" s="22" t="s">
        <v>2562</v>
      </c>
      <c r="AD26" s="22"/>
      <c r="AE26" s="644" t="s">
        <v>372</v>
      </c>
      <c r="AF26" s="640"/>
      <c r="AI26" s="59" t="s">
        <v>2563</v>
      </c>
      <c r="AJ26" s="15">
        <v>210</v>
      </c>
      <c r="AK26" s="569" t="s">
        <v>372</v>
      </c>
      <c r="AL26" s="569" t="s">
        <v>372</v>
      </c>
      <c r="AO26" s="65" t="s">
        <v>2564</v>
      </c>
      <c r="AP26" s="59">
        <v>28.94</v>
      </c>
      <c r="AQ26" s="569" t="s">
        <v>372</v>
      </c>
      <c r="AR26" s="15"/>
      <c r="AU26" s="65" t="s">
        <v>2565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2191</v>
      </c>
      <c r="BF26" s="59">
        <v>155.44999999999999</v>
      </c>
      <c r="BG26" s="569" t="s">
        <v>372</v>
      </c>
      <c r="BH26" s="15"/>
      <c r="BK26" s="87" t="s">
        <v>2191</v>
      </c>
      <c r="BL26" s="59">
        <v>134.08000000000001</v>
      </c>
      <c r="BM26" s="569" t="s">
        <v>372</v>
      </c>
      <c r="BN26" s="15"/>
      <c r="BQ26" s="87" t="s">
        <v>2191</v>
      </c>
      <c r="BR26" s="59">
        <v>130.34</v>
      </c>
      <c r="BS26" s="569" t="s">
        <v>372</v>
      </c>
      <c r="BW26" s="87" t="s">
        <v>2191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2566</v>
      </c>
      <c r="CL26" s="55"/>
      <c r="CO26" s="87" t="s">
        <v>2388</v>
      </c>
      <c r="CP26" s="59">
        <v>64</v>
      </c>
      <c r="CQ26" s="569" t="s">
        <v>372</v>
      </c>
      <c r="CU26" s="101" t="s">
        <v>2567</v>
      </c>
      <c r="CV26" s="59">
        <f>16.33+8.5</f>
        <v>24.83</v>
      </c>
      <c r="CW26" s="109" t="s">
        <v>2568</v>
      </c>
      <c r="CX26" s="586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1969</v>
      </c>
      <c r="DH26" s="44">
        <f>395.9+637.65</f>
        <v>1033.55</v>
      </c>
      <c r="DI26" s="22" t="s">
        <v>2572</v>
      </c>
      <c r="DJ26" s="23" t="s">
        <v>1979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2573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45" t="s">
        <v>2394</v>
      </c>
      <c r="EY26" s="645"/>
      <c r="EZ26" s="47" t="s">
        <v>1977</v>
      </c>
      <c r="FA26" s="92">
        <v>30000</v>
      </c>
      <c r="FD26" s="145" t="s">
        <v>2578</v>
      </c>
      <c r="FE26" s="15">
        <v>57.12</v>
      </c>
      <c r="FF26" s="47" t="s">
        <v>1977</v>
      </c>
      <c r="FG26" s="92">
        <v>30000</v>
      </c>
      <c r="FJ26" s="145" t="s">
        <v>2579</v>
      </c>
      <c r="FK26" s="15">
        <f>40.89-20</f>
        <v>20.89</v>
      </c>
      <c r="FL26" s="47" t="s">
        <v>2336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1977</v>
      </c>
      <c r="FS26" s="92">
        <v>10000</v>
      </c>
      <c r="FT26" s="569" t="s">
        <v>2274</v>
      </c>
      <c r="FU26" s="15">
        <f>242.32-FU21</f>
        <v>42.319999999999993</v>
      </c>
      <c r="FV26" s="145" t="s">
        <v>2407</v>
      </c>
      <c r="FW26" s="15">
        <v>70</v>
      </c>
      <c r="FX26" s="47" t="s">
        <v>2336</v>
      </c>
      <c r="FY26" s="92">
        <v>1000</v>
      </c>
      <c r="FZ26" s="59"/>
      <c r="GB26" s="162" t="s">
        <v>2464</v>
      </c>
      <c r="GC26" s="15">
        <v>9</v>
      </c>
      <c r="GD26" s="47" t="s">
        <v>2336</v>
      </c>
      <c r="GE26" s="92">
        <v>1000</v>
      </c>
      <c r="GH26" s="162" t="s">
        <v>2464</v>
      </c>
      <c r="GI26" s="15">
        <v>9</v>
      </c>
      <c r="GJ26" s="47" t="s">
        <v>2269</v>
      </c>
      <c r="GK26" s="92">
        <v>2000</v>
      </c>
      <c r="GL26" s="59"/>
      <c r="GN26" s="162" t="s">
        <v>2464</v>
      </c>
      <c r="GO26" s="15">
        <v>9</v>
      </c>
      <c r="GP26" s="47" t="s">
        <v>2128</v>
      </c>
      <c r="GQ26" s="92">
        <v>2000</v>
      </c>
      <c r="GT26" s="145" t="s">
        <v>2581</v>
      </c>
      <c r="GU26" s="15">
        <v>8</v>
      </c>
      <c r="GV26" s="47" t="s">
        <v>2200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2576</v>
      </c>
      <c r="HI26" s="95"/>
      <c r="HJ26" s="152" t="s">
        <v>1277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33" t="s">
        <v>2349</v>
      </c>
      <c r="HQ26" s="633"/>
      <c r="HR26" s="145" t="s">
        <v>2584</v>
      </c>
      <c r="HS26" s="15">
        <v>10</v>
      </c>
      <c r="HT26" s="63" t="s">
        <v>2533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1810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2474</v>
      </c>
      <c r="JL26" s="45" t="s">
        <v>2432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2474</v>
      </c>
      <c r="KC26" s="41"/>
      <c r="KF26" s="145" t="s">
        <v>2601</v>
      </c>
      <c r="KG26" s="99">
        <v>21.12</v>
      </c>
      <c r="KH26" s="61" t="s">
        <v>2076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1735</v>
      </c>
      <c r="KS26" s="41">
        <f>14.32+9+9</f>
        <v>32.32</v>
      </c>
      <c r="KT26" s="47" t="s">
        <v>2320</v>
      </c>
      <c r="KU26" s="43">
        <v>100</v>
      </c>
      <c r="KV26" s="59"/>
      <c r="KX26" s="70" t="s">
        <v>2365</v>
      </c>
      <c r="KY26" s="54">
        <v>176.15</v>
      </c>
      <c r="KZ26" s="63" t="s">
        <v>2289</v>
      </c>
      <c r="LA26" s="43">
        <v>1000</v>
      </c>
      <c r="LD26" s="65" t="s">
        <v>2604</v>
      </c>
      <c r="LE26" s="41">
        <v>30</v>
      </c>
      <c r="LF26" s="67" t="s">
        <v>2355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2606</v>
      </c>
      <c r="LW26" s="41">
        <v>80</v>
      </c>
      <c r="LX26" s="63" t="s">
        <v>2289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2289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1720</v>
      </c>
      <c r="MQ26" s="43">
        <v>1107</v>
      </c>
      <c r="MT26" s="317" t="s">
        <v>2610</v>
      </c>
      <c r="MU26" s="41">
        <v>73.86</v>
      </c>
      <c r="MV26" s="61" t="s">
        <v>2377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2258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2289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2258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2289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2505</v>
      </c>
      <c r="OB26" s="279" t="s">
        <v>1728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H26" s="42" t="s">
        <v>2438</v>
      </c>
      <c r="OJ26" s="337" t="s">
        <v>2561</v>
      </c>
      <c r="OK26" s="55">
        <v>52.6</v>
      </c>
      <c r="OL26" s="15" t="s">
        <v>3788</v>
      </c>
      <c r="OM26" s="41">
        <f>2133.89-2101.49</f>
        <v>32.400000000000091</v>
      </c>
    </row>
    <row r="27" spans="1:405" ht="12.75" customHeight="1">
      <c r="A27" s="640"/>
      <c r="B27" s="640"/>
      <c r="E27" s="572" t="s">
        <v>418</v>
      </c>
      <c r="F27" s="60"/>
      <c r="G27" s="640"/>
      <c r="H27" s="640"/>
      <c r="K27" s="65" t="s">
        <v>2619</v>
      </c>
      <c r="L27" s="15">
        <f>60</f>
        <v>60</v>
      </c>
      <c r="M27" s="644" t="s">
        <v>2620</v>
      </c>
      <c r="N27" s="640"/>
      <c r="Q27" s="64" t="s">
        <v>2621</v>
      </c>
      <c r="R27" s="59">
        <v>200</v>
      </c>
      <c r="S27" s="644" t="s">
        <v>2620</v>
      </c>
      <c r="T27" s="640"/>
      <c r="W27" s="65" t="s">
        <v>2191</v>
      </c>
      <c r="X27" s="15">
        <v>61.35</v>
      </c>
      <c r="Y27" s="644" t="s">
        <v>372</v>
      </c>
      <c r="Z27" s="640"/>
      <c r="AC27" s="22" t="s">
        <v>2622</v>
      </c>
      <c r="AD27" s="22">
        <f>53+207+63</f>
        <v>323</v>
      </c>
      <c r="AE27" s="644" t="s">
        <v>2620</v>
      </c>
      <c r="AF27" s="640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2324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2045</v>
      </c>
      <c r="DN27" s="55">
        <v>134.44999999999999</v>
      </c>
      <c r="DO27" s="22" t="s">
        <v>2574</v>
      </c>
      <c r="DP27" s="90">
        <v>5000</v>
      </c>
      <c r="DS27" s="86" t="s">
        <v>2267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45" t="s">
        <v>2642</v>
      </c>
      <c r="FE27" s="645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2338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2267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2336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2200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2200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2585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2474</v>
      </c>
      <c r="JQ27" s="43"/>
      <c r="JR27" s="152" t="s">
        <v>1277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2364</v>
      </c>
      <c r="KO27" s="43">
        <v>12</v>
      </c>
      <c r="KQ27" s="38"/>
      <c r="KR27" s="65" t="s">
        <v>1810</v>
      </c>
      <c r="KS27" s="41">
        <f>10+18.51+10+16.63+15.78+16.9+10+16.2+16.87+10+10+20.2+10+10</f>
        <v>191.08999999999997</v>
      </c>
      <c r="KT27" s="63" t="s">
        <v>2289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1810</v>
      </c>
      <c r="LK27" s="41">
        <f>20.76+15.66+10+17.14+10+17.5</f>
        <v>91.06</v>
      </c>
      <c r="LL27" s="63"/>
      <c r="LM27" s="41"/>
      <c r="LN27" s="15" t="s">
        <v>1490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2364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2258</v>
      </c>
      <c r="MQ27" s="43">
        <v>10</v>
      </c>
      <c r="MR27" s="42"/>
      <c r="MT27" s="317" t="s">
        <v>2680</v>
      </c>
      <c r="MU27" s="41">
        <v>29.6</v>
      </c>
      <c r="MV27" s="61" t="s">
        <v>2258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2320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2320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2474</v>
      </c>
      <c r="OA27" s="41"/>
      <c r="OB27" s="279"/>
      <c r="OC27" s="279"/>
      <c r="OD27" s="317" t="s">
        <v>2376</v>
      </c>
      <c r="OE27" s="55">
        <v>24.6</v>
      </c>
      <c r="OH27" s="279" t="s">
        <v>2506</v>
      </c>
      <c r="OI27" s="279"/>
      <c r="OJ27" s="317" t="s">
        <v>2618</v>
      </c>
      <c r="OK27" s="55">
        <v>29.1</v>
      </c>
      <c r="OL27" s="67" t="s">
        <v>2910</v>
      </c>
      <c r="OM27" s="15">
        <v>200.02</v>
      </c>
      <c r="ON27" s="341"/>
    </row>
    <row r="28" spans="1:405">
      <c r="A28" s="644" t="s">
        <v>372</v>
      </c>
      <c r="B28" s="640"/>
      <c r="E28" s="572" t="s">
        <v>427</v>
      </c>
      <c r="F28" s="60"/>
      <c r="G28" s="644" t="s">
        <v>372</v>
      </c>
      <c r="H28" s="640"/>
      <c r="K28" s="65" t="s">
        <v>2191</v>
      </c>
      <c r="L28" s="15">
        <v>0</v>
      </c>
      <c r="M28" s="628" t="s">
        <v>197</v>
      </c>
      <c r="N28" s="628"/>
      <c r="Q28" s="64" t="s">
        <v>2439</v>
      </c>
      <c r="R28" s="15">
        <v>0</v>
      </c>
      <c r="S28" s="628" t="s">
        <v>197</v>
      </c>
      <c r="T28" s="628"/>
      <c r="W28" s="65" t="s">
        <v>2260</v>
      </c>
      <c r="X28" s="15">
        <v>64</v>
      </c>
      <c r="Y28" s="644" t="s">
        <v>2620</v>
      </c>
      <c r="Z28" s="640"/>
      <c r="AC28" s="22" t="s">
        <v>2688</v>
      </c>
      <c r="AD28" s="22">
        <f>63+46</f>
        <v>109</v>
      </c>
      <c r="AE28" s="628" t="s">
        <v>197</v>
      </c>
      <c r="AF28" s="628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2191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2260</v>
      </c>
      <c r="BF28" s="59">
        <v>64</v>
      </c>
      <c r="BG28" s="47" t="s">
        <v>197</v>
      </c>
      <c r="BH28" s="47"/>
      <c r="BK28" s="87" t="s">
        <v>2260</v>
      </c>
      <c r="BL28" s="59" t="s">
        <v>2691</v>
      </c>
      <c r="BM28" s="47" t="s">
        <v>197</v>
      </c>
      <c r="BN28" s="47"/>
      <c r="BQ28" s="87" t="s">
        <v>2260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2260</v>
      </c>
      <c r="CD28" s="59">
        <v>32</v>
      </c>
      <c r="CE28" s="47" t="s">
        <v>197</v>
      </c>
      <c r="CF28" s="54"/>
      <c r="CI28" s="87" t="s">
        <v>2388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2330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45" t="s">
        <v>2394</v>
      </c>
      <c r="EM28" s="645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1910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2599</v>
      </c>
      <c r="FW28" s="15">
        <v>41.2</v>
      </c>
      <c r="FX28" s="47" t="s">
        <v>2209</v>
      </c>
      <c r="FY28" s="92">
        <v>1010</v>
      </c>
      <c r="GB28" s="145" t="s">
        <v>2708</v>
      </c>
      <c r="GC28" s="15">
        <v>8</v>
      </c>
      <c r="GD28" s="47" t="s">
        <v>2209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2209</v>
      </c>
      <c r="GK28" s="92">
        <v>2002</v>
      </c>
      <c r="GN28" s="162" t="s">
        <v>2063</v>
      </c>
      <c r="GO28" s="15">
        <f>8.9+15.69+15.34+15.72</f>
        <v>55.65</v>
      </c>
      <c r="GP28" s="47" t="s">
        <v>2209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2474</v>
      </c>
      <c r="IN28" s="191"/>
      <c r="IO28" s="204"/>
      <c r="IP28" s="145" t="s">
        <v>2722</v>
      </c>
      <c r="IQ28" s="41">
        <v>61.71</v>
      </c>
      <c r="IR28" s="67" t="s">
        <v>2474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33" t="s">
        <v>2349</v>
      </c>
      <c r="JA28" s="633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2432</v>
      </c>
      <c r="KE28" s="45"/>
      <c r="KF28" s="194">
        <v>34.15</v>
      </c>
      <c r="KG28" s="44"/>
      <c r="KH28" s="47" t="s">
        <v>2225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2355</v>
      </c>
      <c r="KU28" s="41"/>
      <c r="KV28" s="59"/>
      <c r="KX28" s="65" t="s">
        <v>2298</v>
      </c>
      <c r="KY28" s="41">
        <v>30</v>
      </c>
      <c r="KZ28" s="67" t="s">
        <v>2545</v>
      </c>
      <c r="LA28" s="41"/>
      <c r="LD28" s="65" t="s">
        <v>2733</v>
      </c>
      <c r="LE28" s="44">
        <v>151.85</v>
      </c>
      <c r="LF28" s="67" t="s">
        <v>2474</v>
      </c>
      <c r="LG28" s="41"/>
      <c r="LJ28" s="145" t="s">
        <v>2734</v>
      </c>
      <c r="LK28" s="41">
        <v>20</v>
      </c>
      <c r="LL28" s="63" t="s">
        <v>2545</v>
      </c>
      <c r="LM28" s="43"/>
      <c r="LN28" s="279" t="s">
        <v>1728</v>
      </c>
      <c r="LO28" s="279"/>
      <c r="LP28" s="65" t="s">
        <v>1810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2737</v>
      </c>
      <c r="MI28" s="41">
        <v>8.9</v>
      </c>
      <c r="MJ28" s="47" t="s">
        <v>2320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2320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2320</v>
      </c>
      <c r="MW28" s="43">
        <v>140</v>
      </c>
      <c r="MX28" s="45" t="s">
        <v>2432</v>
      </c>
      <c r="MY28" s="305"/>
      <c r="MZ28" s="56" t="s">
        <v>2239</v>
      </c>
      <c r="NA28" s="55">
        <f>78.3+25.4</f>
        <v>103.69999999999999</v>
      </c>
      <c r="NB28" s="47" t="s">
        <v>2556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2505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2289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2505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2355</v>
      </c>
      <c r="OJ28" s="317" t="s">
        <v>2687</v>
      </c>
      <c r="OK28" s="55">
        <v>19.78</v>
      </c>
    </row>
    <row r="29" spans="1:405">
      <c r="A29" s="644" t="s">
        <v>2620</v>
      </c>
      <c r="B29" s="640"/>
      <c r="E29" s="572" t="s">
        <v>431</v>
      </c>
      <c r="F29" s="60"/>
      <c r="G29" s="644" t="s">
        <v>2620</v>
      </c>
      <c r="H29" s="640"/>
      <c r="K29" s="65" t="s">
        <v>2260</v>
      </c>
      <c r="L29" s="15">
        <v>64</v>
      </c>
      <c r="M29" s="640" t="s">
        <v>300</v>
      </c>
      <c r="N29" s="640"/>
      <c r="S29" s="640" t="s">
        <v>300</v>
      </c>
      <c r="T29" s="640"/>
      <c r="W29" s="65" t="s">
        <v>2324</v>
      </c>
      <c r="X29" s="15">
        <v>100.01</v>
      </c>
      <c r="Y29" s="628" t="s">
        <v>197</v>
      </c>
      <c r="Z29" s="628"/>
      <c r="AC29" s="15" t="s">
        <v>2746</v>
      </c>
      <c r="AD29" s="15">
        <v>65</v>
      </c>
      <c r="AE29" s="640" t="s">
        <v>300</v>
      </c>
      <c r="AF29" s="640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2747</v>
      </c>
      <c r="AX29" s="15"/>
      <c r="AY29" s="65"/>
      <c r="AZ29" s="59"/>
      <c r="BA29" s="15" t="s">
        <v>2747</v>
      </c>
      <c r="BB29" s="15"/>
      <c r="BE29" s="65" t="s">
        <v>2324</v>
      </c>
      <c r="BF29" s="59">
        <v>50</v>
      </c>
      <c r="BG29" s="15" t="s">
        <v>2747</v>
      </c>
      <c r="BH29" s="15"/>
      <c r="BK29" s="87" t="s">
        <v>2324</v>
      </c>
      <c r="BL29" s="59">
        <v>10</v>
      </c>
      <c r="BM29" s="15" t="s">
        <v>2747</v>
      </c>
      <c r="BN29" s="15"/>
      <c r="BQ29" s="87" t="s">
        <v>2324</v>
      </c>
      <c r="BR29" s="59">
        <v>20</v>
      </c>
      <c r="BS29" s="15" t="s">
        <v>2747</v>
      </c>
      <c r="BW29" s="87" t="s">
        <v>2324</v>
      </c>
      <c r="BX29" s="59">
        <v>50</v>
      </c>
      <c r="BY29" s="15" t="s">
        <v>2747</v>
      </c>
      <c r="CC29" s="87" t="s">
        <v>2324</v>
      </c>
      <c r="CD29" s="59">
        <v>70.001000000000005</v>
      </c>
      <c r="CE29" s="15" t="s">
        <v>2747</v>
      </c>
      <c r="CI29" s="87" t="s">
        <v>2324</v>
      </c>
      <c r="CJ29" s="59">
        <v>100.001</v>
      </c>
      <c r="CK29" s="15" t="s">
        <v>2747</v>
      </c>
      <c r="CO29" s="101" t="s">
        <v>2748</v>
      </c>
      <c r="CP29" s="42">
        <v>35</v>
      </c>
      <c r="CQ29" s="15" t="s">
        <v>2747</v>
      </c>
      <c r="CU29" s="101" t="s">
        <v>2749</v>
      </c>
      <c r="CV29" s="42">
        <f>6*4+5*2+5</f>
        <v>39</v>
      </c>
      <c r="CW29" s="569" t="s">
        <v>372</v>
      </c>
      <c r="DA29" s="116" t="s">
        <v>2750</v>
      </c>
      <c r="DB29" s="59">
        <v>300</v>
      </c>
      <c r="DD29" s="54"/>
      <c r="DG29" s="86" t="s">
        <v>1841</v>
      </c>
      <c r="DH29" s="55">
        <v>85.71</v>
      </c>
      <c r="DI29" s="22" t="s">
        <v>2751</v>
      </c>
      <c r="DJ29" s="90" t="s">
        <v>1979</v>
      </c>
      <c r="DM29" s="86" t="s">
        <v>2388</v>
      </c>
      <c r="DN29" s="55">
        <v>64</v>
      </c>
      <c r="DO29" s="58"/>
      <c r="DP29" s="127"/>
      <c r="DS29" s="116" t="s">
        <v>2752</v>
      </c>
      <c r="DT29" s="55">
        <v>10</v>
      </c>
      <c r="DU29" s="58"/>
      <c r="DV29" s="127"/>
      <c r="DY29" s="22" t="s">
        <v>2753</v>
      </c>
      <c r="DZ29" s="22"/>
      <c r="EA29" s="15" t="s">
        <v>1482</v>
      </c>
      <c r="EB29" s="43">
        <v>-20000</v>
      </c>
      <c r="EE29" s="15" t="s">
        <v>2754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2755</v>
      </c>
      <c r="ES29" s="22"/>
      <c r="ET29" s="47" t="s">
        <v>2756</v>
      </c>
      <c r="EU29" s="92">
        <v>0</v>
      </c>
      <c r="EX29" s="148" t="s">
        <v>2757</v>
      </c>
      <c r="EY29" s="150"/>
      <c r="EZ29" s="47" t="s">
        <v>1972</v>
      </c>
      <c r="FA29" s="92">
        <v>5010</v>
      </c>
      <c r="FD29" s="150" t="s">
        <v>2758</v>
      </c>
      <c r="FE29" s="150"/>
      <c r="FF29" s="47" t="s">
        <v>1972</v>
      </c>
      <c r="FG29" s="92">
        <v>10010</v>
      </c>
      <c r="FJ29" s="645" t="s">
        <v>2642</v>
      </c>
      <c r="FK29" s="645"/>
      <c r="FL29" s="47" t="s">
        <v>1977</v>
      </c>
      <c r="FM29" s="92">
        <v>10000</v>
      </c>
      <c r="FP29" s="145" t="s">
        <v>2759</v>
      </c>
      <c r="FQ29" s="15">
        <v>35.799999999999997</v>
      </c>
      <c r="FR29" s="47" t="s">
        <v>1972</v>
      </c>
      <c r="FS29" s="92">
        <v>10010</v>
      </c>
      <c r="FT29" s="15" t="s">
        <v>2760</v>
      </c>
      <c r="FU29" s="15">
        <f>4980.91-5005</f>
        <v>-24.090000000000146</v>
      </c>
      <c r="FV29" s="145" t="s">
        <v>2761</v>
      </c>
      <c r="FW29" s="15">
        <v>6.3</v>
      </c>
      <c r="FX29" s="47" t="s">
        <v>2209</v>
      </c>
      <c r="FY29" s="92">
        <v>5005</v>
      </c>
      <c r="GB29" s="145" t="s">
        <v>2762</v>
      </c>
      <c r="GC29" s="15">
        <v>127.1</v>
      </c>
      <c r="GD29" s="47" t="s">
        <v>2209</v>
      </c>
      <c r="GE29" s="92">
        <v>4004</v>
      </c>
      <c r="GF29" s="59"/>
      <c r="GH29" s="145" t="s">
        <v>2763</v>
      </c>
      <c r="GI29" s="15">
        <v>70</v>
      </c>
      <c r="GJ29" s="47" t="s">
        <v>2209</v>
      </c>
      <c r="GK29" s="92">
        <v>808</v>
      </c>
      <c r="GN29" s="145" t="s">
        <v>2764</v>
      </c>
      <c r="GO29" s="15">
        <v>20</v>
      </c>
      <c r="GP29" s="47" t="s">
        <v>2209</v>
      </c>
      <c r="GQ29" s="92" t="s">
        <v>1979</v>
      </c>
      <c r="GT29" s="145" t="s">
        <v>2765</v>
      </c>
      <c r="GU29" s="15">
        <v>10</v>
      </c>
      <c r="GV29" s="75" t="s">
        <v>2576</v>
      </c>
      <c r="GW29" s="95"/>
      <c r="GZ29" s="145" t="s">
        <v>2766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2767</v>
      </c>
      <c r="HG29" s="15">
        <f>74.8-6.1</f>
        <v>68.7</v>
      </c>
      <c r="HH29" s="15" t="s">
        <v>1918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2768</v>
      </c>
      <c r="HN29" s="180"/>
      <c r="HO29" s="95"/>
      <c r="HP29" s="167" t="s">
        <v>1277</v>
      </c>
      <c r="HQ29" s="15">
        <v>0</v>
      </c>
      <c r="HR29" s="145" t="s">
        <v>2766</v>
      </c>
      <c r="HS29" s="15">
        <v>80</v>
      </c>
      <c r="HT29" s="47" t="s">
        <v>1626</v>
      </c>
      <c r="HU29" s="92">
        <v>4000</v>
      </c>
      <c r="HV29" s="145" t="s">
        <v>2723</v>
      </c>
      <c r="HW29" s="15">
        <f>SUM(HY25:HY30)</f>
        <v>271.94</v>
      </c>
      <c r="HX29" s="145" t="s">
        <v>2769</v>
      </c>
      <c r="HY29" s="15">
        <f>22.3+42.9</f>
        <v>65.2</v>
      </c>
      <c r="HZ29" s="75" t="s">
        <v>2530</v>
      </c>
      <c r="IB29" s="155" t="s">
        <v>2585</v>
      </c>
      <c r="IC29" s="15">
        <f>SUM(IE9:IE9)</f>
        <v>32.1</v>
      </c>
      <c r="ID29" s="145" t="s">
        <v>2770</v>
      </c>
      <c r="IE29" s="15">
        <v>80</v>
      </c>
      <c r="IF29" s="67" t="s">
        <v>2590</v>
      </c>
      <c r="IG29" s="95"/>
      <c r="IH29" s="186" t="s">
        <v>2771</v>
      </c>
      <c r="II29" s="204">
        <f>19.45*3</f>
        <v>58.349999999999994</v>
      </c>
      <c r="IJ29" s="145" t="s">
        <v>2772</v>
      </c>
      <c r="IK29" s="15">
        <f>7.15+14.85</f>
        <v>22</v>
      </c>
      <c r="IL29" s="181" t="s">
        <v>2773</v>
      </c>
      <c r="IM29" s="227">
        <v>21.35</v>
      </c>
      <c r="IN29" s="186"/>
      <c r="IO29" s="204"/>
      <c r="IP29" s="145" t="s">
        <v>2774</v>
      </c>
      <c r="IQ29" s="41">
        <v>23.1</v>
      </c>
      <c r="IR29" s="67" t="s">
        <v>2775</v>
      </c>
      <c r="IS29" s="15" t="s">
        <v>2776</v>
      </c>
      <c r="IT29" s="145" t="s">
        <v>2777</v>
      </c>
      <c r="IU29" s="15">
        <f>SUM(IW22:IW25)</f>
        <v>188.39</v>
      </c>
      <c r="IV29" s="170" t="s">
        <v>2778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2779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2780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2781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2778</v>
      </c>
      <c r="KG29" s="195">
        <f>KC19+KE36-KI27</f>
        <v>190</v>
      </c>
      <c r="KH29" s="63" t="s">
        <v>2289</v>
      </c>
      <c r="KI29" s="43">
        <v>1000</v>
      </c>
      <c r="KL29" s="145" t="s">
        <v>2782</v>
      </c>
      <c r="KM29" s="41">
        <v>21.5</v>
      </c>
      <c r="KN29" s="63" t="s">
        <v>2289</v>
      </c>
      <c r="KO29" s="43">
        <v>1000</v>
      </c>
      <c r="KP29" s="279"/>
      <c r="KQ29" s="279"/>
      <c r="KR29" s="145" t="s">
        <v>2783</v>
      </c>
      <c r="KS29" s="41">
        <v>400.92</v>
      </c>
      <c r="KT29" s="63" t="s">
        <v>2784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2355</v>
      </c>
      <c r="LA29" s="41"/>
      <c r="LD29" s="65" t="s">
        <v>1656</v>
      </c>
      <c r="LE29" s="41">
        <f>8.6+15+6.5</f>
        <v>30.1</v>
      </c>
      <c r="LF29" s="63" t="s">
        <v>2785</v>
      </c>
      <c r="LG29" s="43">
        <f>52.8*2</f>
        <v>105.6</v>
      </c>
      <c r="LH29" s="45" t="s">
        <v>2432</v>
      </c>
      <c r="LI29" s="45"/>
      <c r="LJ29" s="145" t="s">
        <v>2549</v>
      </c>
      <c r="LK29" s="41">
        <v>5</v>
      </c>
      <c r="LL29" s="63"/>
      <c r="LM29" s="41"/>
      <c r="LP29" s="145" t="s">
        <v>2786</v>
      </c>
      <c r="LQ29" s="41">
        <v>20</v>
      </c>
      <c r="LR29" s="63" t="s">
        <v>2545</v>
      </c>
      <c r="LS29" s="43"/>
      <c r="LT29" s="59"/>
      <c r="LV29" s="145" t="s">
        <v>2787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2788</v>
      </c>
      <c r="MI29" s="41">
        <v>21.2</v>
      </c>
      <c r="MJ29" s="63" t="s">
        <v>2289</v>
      </c>
      <c r="MK29" s="43">
        <v>1000</v>
      </c>
      <c r="ML29" s="311"/>
      <c r="MM29" s="318"/>
      <c r="MN29" s="317" t="s">
        <v>2789</v>
      </c>
      <c r="MO29" s="41">
        <v>34</v>
      </c>
      <c r="MP29" s="63" t="s">
        <v>2289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2289</v>
      </c>
      <c r="MW29" s="43">
        <v>1265</v>
      </c>
      <c r="MX29" s="319" t="s">
        <v>1226</v>
      </c>
      <c r="MY29" s="55">
        <f>SUM(NA6:NA6)</f>
        <v>1900.09</v>
      </c>
      <c r="MZ29" s="56" t="s">
        <v>2790</v>
      </c>
      <c r="NA29" s="55">
        <v>57.47</v>
      </c>
      <c r="NB29" s="63" t="s">
        <v>2289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2474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2432</v>
      </c>
      <c r="NQ29" s="305"/>
      <c r="NR29" s="317" t="s">
        <v>2791</v>
      </c>
      <c r="NS29" s="55">
        <v>40.6</v>
      </c>
      <c r="NT29" s="67" t="s">
        <v>2355</v>
      </c>
      <c r="NV29" s="279"/>
      <c r="NW29" s="279"/>
      <c r="NX29" s="335" t="s">
        <v>2792</v>
      </c>
      <c r="NY29" s="41">
        <v>206.87</v>
      </c>
      <c r="NZ29" s="67" t="s">
        <v>2355</v>
      </c>
      <c r="OD29" s="317" t="s">
        <v>2793</v>
      </c>
      <c r="OE29" s="336">
        <f>16.67+25.06</f>
        <v>41.730000000000004</v>
      </c>
      <c r="OF29" s="63" t="s">
        <v>2545</v>
      </c>
      <c r="OJ29" s="317" t="s">
        <v>3790</v>
      </c>
      <c r="OK29" s="55">
        <v>71.58</v>
      </c>
      <c r="OL29" s="67" t="s">
        <v>2355</v>
      </c>
      <c r="ON29" s="15"/>
    </row>
    <row r="30" spans="1:405">
      <c r="A30" s="628" t="s">
        <v>197</v>
      </c>
      <c r="B30" s="628"/>
      <c r="E30" s="572" t="s">
        <v>2794</v>
      </c>
      <c r="F30" s="51"/>
      <c r="G30" s="628" t="s">
        <v>197</v>
      </c>
      <c r="H30" s="628"/>
      <c r="K30" s="65" t="s">
        <v>2324</v>
      </c>
      <c r="L30" s="15">
        <v>50.01</v>
      </c>
      <c r="M30" s="641" t="s">
        <v>2795</v>
      </c>
      <c r="N30" s="641"/>
      <c r="Q30" s="65" t="s">
        <v>2033</v>
      </c>
      <c r="R30" s="15">
        <v>26</v>
      </c>
      <c r="S30" s="641" t="s">
        <v>2795</v>
      </c>
      <c r="T30" s="641"/>
      <c r="Y30" s="640" t="s">
        <v>300</v>
      </c>
      <c r="Z30" s="640"/>
      <c r="AC30" s="15" t="s">
        <v>2796</v>
      </c>
      <c r="AD30" s="15">
        <v>10</v>
      </c>
      <c r="AE30" s="641" t="s">
        <v>2795</v>
      </c>
      <c r="AF30" s="641"/>
      <c r="AK30" s="75" t="s">
        <v>2795</v>
      </c>
      <c r="AL30" s="75" t="s">
        <v>2795</v>
      </c>
      <c r="AO30" s="65" t="s">
        <v>2260</v>
      </c>
      <c r="AP30" s="59">
        <v>32</v>
      </c>
      <c r="AQ30" s="75" t="s">
        <v>2795</v>
      </c>
      <c r="AR30" s="61"/>
      <c r="AU30" s="65" t="s">
        <v>2260</v>
      </c>
      <c r="AV30" s="59" t="s">
        <v>646</v>
      </c>
      <c r="AW30" s="75" t="s">
        <v>2795</v>
      </c>
      <c r="AX30" s="75"/>
      <c r="AY30" s="65"/>
      <c r="AZ30" s="59"/>
      <c r="BA30" s="75" t="s">
        <v>2795</v>
      </c>
      <c r="BB30" s="75"/>
      <c r="BE30" s="76" t="s">
        <v>2797</v>
      </c>
      <c r="BF30" s="15">
        <v>56.62</v>
      </c>
      <c r="BG30" s="75" t="s">
        <v>2795</v>
      </c>
      <c r="BH30" s="75"/>
      <c r="BK30" s="88" t="s">
        <v>2798</v>
      </c>
      <c r="BL30" s="42">
        <v>5</v>
      </c>
      <c r="BM30" s="75" t="s">
        <v>2795</v>
      </c>
      <c r="BN30" s="75"/>
      <c r="BQ30" s="88" t="s">
        <v>2799</v>
      </c>
      <c r="BR30" s="42">
        <v>20</v>
      </c>
      <c r="BS30" s="75" t="s">
        <v>2795</v>
      </c>
      <c r="BT30" s="94"/>
      <c r="BW30" s="88" t="s">
        <v>2799</v>
      </c>
      <c r="BX30" s="42">
        <v>15</v>
      </c>
      <c r="BY30" s="75" t="s">
        <v>2795</v>
      </c>
      <c r="BZ30" s="98"/>
      <c r="CC30" s="88" t="s">
        <v>2799</v>
      </c>
      <c r="CD30" s="42">
        <v>5</v>
      </c>
      <c r="CE30" s="75" t="s">
        <v>2795</v>
      </c>
      <c r="CF30" s="98"/>
      <c r="CI30" s="101" t="s">
        <v>2799</v>
      </c>
      <c r="CJ30" s="42">
        <f>10+5</f>
        <v>15</v>
      </c>
      <c r="CK30" s="75" t="s">
        <v>2795</v>
      </c>
      <c r="CL30" s="98"/>
      <c r="CO30" s="101" t="s">
        <v>2800</v>
      </c>
      <c r="CP30" s="42">
        <v>39</v>
      </c>
      <c r="CQ30" s="75" t="s">
        <v>2795</v>
      </c>
      <c r="CR30" s="98"/>
      <c r="CU30" s="101" t="s">
        <v>2801</v>
      </c>
      <c r="CV30" s="42">
        <v>46.9</v>
      </c>
      <c r="CW30" s="569" t="s">
        <v>2620</v>
      </c>
      <c r="CX30" s="98"/>
      <c r="DA30" s="116" t="s">
        <v>2802</v>
      </c>
      <c r="DB30" s="59">
        <v>28</v>
      </c>
      <c r="DC30" s="569" t="s">
        <v>372</v>
      </c>
      <c r="DG30" s="86" t="s">
        <v>1904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2267</v>
      </c>
      <c r="DN30" s="55">
        <f>12.19+9.83+1.31+11.91+13.1+17+10+12.95</f>
        <v>88.29</v>
      </c>
      <c r="DO30" s="67" t="s">
        <v>1482</v>
      </c>
      <c r="DP30" s="92">
        <v>-20000</v>
      </c>
      <c r="DQ30" s="59"/>
      <c r="DS30" s="116" t="s">
        <v>2803</v>
      </c>
      <c r="DT30" s="55">
        <v>10</v>
      </c>
      <c r="DU30" s="67" t="s">
        <v>1482</v>
      </c>
      <c r="DV30" s="92">
        <v>-20000</v>
      </c>
      <c r="DY30" s="22" t="s">
        <v>2804</v>
      </c>
      <c r="DZ30" s="22"/>
      <c r="EA30" s="151" t="s">
        <v>2805</v>
      </c>
      <c r="EB30" s="131"/>
      <c r="EE30" s="15" t="s">
        <v>2806</v>
      </c>
      <c r="EF30" s="15">
        <v>201</v>
      </c>
      <c r="EG30" s="47"/>
      <c r="EH30" s="15" t="s">
        <v>2807</v>
      </c>
      <c r="EL30" s="150" t="s">
        <v>2808</v>
      </c>
      <c r="EM30" s="150"/>
      <c r="EN30" s="15" t="s">
        <v>372</v>
      </c>
      <c r="ER30" s="22" t="s">
        <v>2809</v>
      </c>
      <c r="ES30" s="22"/>
      <c r="ET30" s="75" t="s">
        <v>2576</v>
      </c>
      <c r="EU30" s="75"/>
      <c r="EX30" s="148" t="s">
        <v>2810</v>
      </c>
      <c r="EY30" s="150"/>
      <c r="EZ30" s="47" t="s">
        <v>2046</v>
      </c>
      <c r="FA30" s="92">
        <v>10000</v>
      </c>
      <c r="FD30" s="148" t="s">
        <v>2811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2812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2813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2814</v>
      </c>
      <c r="GI30" s="15">
        <v>16</v>
      </c>
      <c r="GJ30" s="59" t="s">
        <v>1844</v>
      </c>
      <c r="GK30" s="92">
        <v>300</v>
      </c>
      <c r="GN30" s="145" t="s">
        <v>2815</v>
      </c>
      <c r="GO30" s="15">
        <v>10</v>
      </c>
      <c r="GP30" s="59" t="s">
        <v>1844</v>
      </c>
      <c r="GQ30" s="92">
        <v>300</v>
      </c>
      <c r="GR30" s="59"/>
      <c r="GT30" s="145" t="s">
        <v>2816</v>
      </c>
      <c r="GU30" s="15">
        <v>10</v>
      </c>
      <c r="GV30" s="67" t="s">
        <v>2817</v>
      </c>
      <c r="GW30" s="95">
        <v>1159.4000000000001</v>
      </c>
      <c r="GZ30" s="145" t="s">
        <v>2461</v>
      </c>
      <c r="HA30" s="15">
        <v>8</v>
      </c>
      <c r="HB30" s="75" t="s">
        <v>2576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2818</v>
      </c>
      <c r="HK30" s="15">
        <f>SUM(HM20:HM23)</f>
        <v>255.57999999999998</v>
      </c>
      <c r="HL30" s="196">
        <v>60</v>
      </c>
      <c r="HM30" s="148" t="s">
        <v>2819</v>
      </c>
      <c r="HP30" s="155" t="s">
        <v>2585</v>
      </c>
      <c r="HQ30" s="15">
        <f>SUM(HS7:HS8)</f>
        <v>1867.15</v>
      </c>
      <c r="HR30" s="15" t="s">
        <v>2468</v>
      </c>
      <c r="HS30" s="59">
        <v>37</v>
      </c>
      <c r="HT30" s="47" t="s">
        <v>1706</v>
      </c>
      <c r="HU30" s="92">
        <v>25000</v>
      </c>
      <c r="HV30" s="145" t="s">
        <v>2818</v>
      </c>
      <c r="HW30" s="15">
        <f>SUM(HY26:HY30)</f>
        <v>251.94</v>
      </c>
      <c r="HX30" s="145" t="s">
        <v>2820</v>
      </c>
      <c r="HY30" s="15">
        <v>11</v>
      </c>
      <c r="HZ30" s="63" t="s">
        <v>2533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2821</v>
      </c>
      <c r="IE30" s="15">
        <v>62</v>
      </c>
      <c r="IF30" s="181" t="s">
        <v>2773</v>
      </c>
      <c r="IG30" s="227">
        <v>21.35</v>
      </c>
      <c r="IH30" s="186" t="s">
        <v>2822</v>
      </c>
      <c r="II30" s="204">
        <f>19.45*25</f>
        <v>486.25</v>
      </c>
      <c r="IJ30" s="145" t="s">
        <v>2823</v>
      </c>
      <c r="IK30" s="15">
        <v>34</v>
      </c>
      <c r="IL30" s="67" t="s">
        <v>2824</v>
      </c>
      <c r="IM30" s="15">
        <v>1.49</v>
      </c>
      <c r="IN30" s="186"/>
      <c r="IO30" s="204"/>
      <c r="IP30" s="145" t="s">
        <v>2825</v>
      </c>
      <c r="IQ30" s="41" t="s">
        <v>2826</v>
      </c>
      <c r="IR30" s="67"/>
      <c r="IT30" s="148" t="s">
        <v>2827</v>
      </c>
      <c r="IU30" s="163">
        <v>90</v>
      </c>
      <c r="IV30" s="196">
        <v>5</v>
      </c>
      <c r="IW30" s="237" t="s">
        <v>2828</v>
      </c>
      <c r="IX30" s="42"/>
      <c r="IZ30" s="70" t="s">
        <v>1286</v>
      </c>
      <c r="JA30" s="89">
        <f>SUM(JC14:JC16)</f>
        <v>4142.9809999999998</v>
      </c>
      <c r="JB30" s="244" t="s">
        <v>2829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2830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2831</v>
      </c>
      <c r="KE30" s="89">
        <f>SUM(KG8:KG10)</f>
        <v>2474.5499999999997</v>
      </c>
      <c r="KF30" s="196">
        <v>10</v>
      </c>
      <c r="KG30" s="275" t="s">
        <v>2832</v>
      </c>
      <c r="KH30" s="67" t="s">
        <v>2355</v>
      </c>
      <c r="KI30" s="41"/>
      <c r="KL30" s="145" t="s">
        <v>2833</v>
      </c>
      <c r="KM30" s="99">
        <v>44.55</v>
      </c>
      <c r="KN30" s="67" t="s">
        <v>2355</v>
      </c>
      <c r="KO30" s="41"/>
      <c r="KR30" s="145" t="s">
        <v>2834</v>
      </c>
      <c r="KS30" s="41">
        <f>5+0.99</f>
        <v>5.99</v>
      </c>
      <c r="KT30" s="63" t="s">
        <v>2835</v>
      </c>
      <c r="KU30" s="41"/>
      <c r="KV30" s="59"/>
      <c r="KX30" s="65" t="s">
        <v>2836</v>
      </c>
      <c r="KY30" s="41">
        <v>57.3</v>
      </c>
      <c r="KZ30" s="67" t="s">
        <v>2474</v>
      </c>
      <c r="LA30" s="41"/>
      <c r="LD30" s="65" t="s">
        <v>2837</v>
      </c>
      <c r="LE30" s="41">
        <v>67.8</v>
      </c>
      <c r="LF30" s="63" t="s">
        <v>2838</v>
      </c>
      <c r="LG30" s="43">
        <v>28.82</v>
      </c>
      <c r="LH30" s="176" t="s">
        <v>1226</v>
      </c>
      <c r="LI30" s="89">
        <f>SUM(LK6:LK7)</f>
        <v>1900.02</v>
      </c>
      <c r="LJ30" s="145" t="s">
        <v>2839</v>
      </c>
      <c r="LK30" s="41">
        <v>10.6</v>
      </c>
      <c r="LL30" s="63"/>
      <c r="LM30" s="41"/>
      <c r="LN30" s="45" t="s">
        <v>2432</v>
      </c>
      <c r="LO30" s="305"/>
      <c r="LP30" s="145" t="s">
        <v>2840</v>
      </c>
      <c r="LQ30" s="41">
        <v>387.83</v>
      </c>
      <c r="LR30" s="67" t="s">
        <v>2355</v>
      </c>
      <c r="LS30" s="41"/>
      <c r="LV30" s="145" t="s">
        <v>2841</v>
      </c>
      <c r="LW30" s="41">
        <v>46.4</v>
      </c>
      <c r="LX30" s="63"/>
      <c r="LY30" s="43"/>
      <c r="LZ30" s="59"/>
      <c r="MB30" s="65" t="s">
        <v>2842</v>
      </c>
      <c r="MC30" s="55">
        <v>10.9</v>
      </c>
      <c r="MD30" s="63" t="s">
        <v>2545</v>
      </c>
      <c r="ME30" s="43"/>
      <c r="MF30" s="311"/>
      <c r="MG30" s="318"/>
      <c r="MH30" s="317" t="s">
        <v>2843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2844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2845</v>
      </c>
      <c r="MU30" s="41">
        <v>143.4</v>
      </c>
      <c r="MV30" s="207">
        <v>2212</v>
      </c>
      <c r="MW30" s="43" t="s">
        <v>2682</v>
      </c>
      <c r="MX30" s="153" t="s">
        <v>2846</v>
      </c>
      <c r="MY30" s="55">
        <f>SUM(NA7:NA9)</f>
        <v>137.1</v>
      </c>
      <c r="MZ30" s="56" t="s">
        <v>2847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2848</v>
      </c>
      <c r="NI30" s="59">
        <v>2.81</v>
      </c>
      <c r="NJ30" s="317" t="s">
        <v>2849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2850</v>
      </c>
      <c r="NS30" s="41">
        <v>500</v>
      </c>
      <c r="NT30" s="15" t="s">
        <v>2851</v>
      </c>
      <c r="NU30" s="15">
        <v>105.7</v>
      </c>
      <c r="NV30" s="279"/>
      <c r="NW30" s="279"/>
      <c r="NX30" s="317" t="s">
        <v>2852</v>
      </c>
      <c r="NY30" s="41">
        <v>79</v>
      </c>
      <c r="NZ30" s="63" t="s">
        <v>2545</v>
      </c>
      <c r="OD30" s="317" t="s">
        <v>2853</v>
      </c>
      <c r="OE30" s="336">
        <v>6.8</v>
      </c>
      <c r="OF30" s="67" t="s">
        <v>2854</v>
      </c>
      <c r="OH30" s="59"/>
      <c r="OJ30" s="317" t="s">
        <v>1890</v>
      </c>
      <c r="OK30" s="55"/>
      <c r="OL30" s="67"/>
    </row>
    <row r="31" spans="1:405" ht="12.75" customHeight="1">
      <c r="A31" s="640" t="s">
        <v>300</v>
      </c>
      <c r="B31" s="640"/>
      <c r="E31" s="51"/>
      <c r="F31" s="51"/>
      <c r="G31" s="640" t="s">
        <v>300</v>
      </c>
      <c r="H31" s="640"/>
      <c r="M31" s="634" t="s">
        <v>363</v>
      </c>
      <c r="N31" s="634"/>
      <c r="Q31" s="65" t="s">
        <v>2111</v>
      </c>
      <c r="R31" s="15">
        <v>55</v>
      </c>
      <c r="S31" s="634" t="s">
        <v>363</v>
      </c>
      <c r="T31" s="634"/>
      <c r="W31" s="66" t="s">
        <v>2856</v>
      </c>
      <c r="X31" s="66">
        <v>0</v>
      </c>
      <c r="Y31" s="641" t="s">
        <v>2795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2324</v>
      </c>
      <c r="AP31" s="59">
        <v>200</v>
      </c>
      <c r="AQ31" s="59" t="s">
        <v>363</v>
      </c>
      <c r="AR31" s="59"/>
      <c r="AU31" s="65" t="s">
        <v>2324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2857</v>
      </c>
      <c r="BF31" s="15">
        <v>53</v>
      </c>
      <c r="BG31" s="59" t="s">
        <v>363</v>
      </c>
      <c r="BH31" s="59"/>
      <c r="BK31" s="88" t="s">
        <v>2858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2859</v>
      </c>
      <c r="BX31" s="42">
        <v>29.8</v>
      </c>
      <c r="BY31" s="59" t="s">
        <v>363</v>
      </c>
      <c r="BZ31" s="55"/>
      <c r="CC31" s="88" t="s">
        <v>2860</v>
      </c>
      <c r="CD31" s="42">
        <v>37</v>
      </c>
      <c r="CE31" s="59" t="s">
        <v>363</v>
      </c>
      <c r="CF31" s="55"/>
      <c r="CI31" s="101" t="s">
        <v>2861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2862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2863</v>
      </c>
      <c r="DG31" s="86" t="s">
        <v>1656</v>
      </c>
      <c r="DH31" s="55">
        <v>13</v>
      </c>
      <c r="DI31" s="22" t="s">
        <v>1769</v>
      </c>
      <c r="DJ31" s="90">
        <v>5000</v>
      </c>
      <c r="DK31" s="59"/>
      <c r="DM31" s="116" t="s">
        <v>2864</v>
      </c>
      <c r="DN31" s="55">
        <v>5</v>
      </c>
      <c r="DO31" s="639" t="s">
        <v>2865</v>
      </c>
      <c r="DP31" s="639"/>
      <c r="DQ31" s="59"/>
      <c r="DS31" s="116" t="s">
        <v>2866</v>
      </c>
      <c r="DT31" s="55">
        <f>95+70</f>
        <v>165</v>
      </c>
      <c r="DU31" s="137" t="s">
        <v>2805</v>
      </c>
      <c r="DV31" s="138"/>
      <c r="DY31" s="22" t="s">
        <v>2867</v>
      </c>
      <c r="DZ31" s="22"/>
      <c r="EA31" s="22" t="s">
        <v>2868</v>
      </c>
      <c r="EB31" s="22">
        <v>991</v>
      </c>
      <c r="EE31" s="15" t="s">
        <v>2869</v>
      </c>
      <c r="EF31" s="15">
        <v>30</v>
      </c>
      <c r="EG31" s="47"/>
      <c r="EH31" s="15" t="s">
        <v>2870</v>
      </c>
      <c r="EL31" s="22" t="s">
        <v>2871</v>
      </c>
      <c r="EM31" s="22"/>
      <c r="EN31" s="15" t="s">
        <v>2872</v>
      </c>
      <c r="ER31" s="22" t="s">
        <v>2873</v>
      </c>
      <c r="ES31" s="22"/>
      <c r="ET31" s="67" t="s">
        <v>2640</v>
      </c>
      <c r="EU31" s="100">
        <v>326.35000000000002</v>
      </c>
      <c r="EX31" s="148" t="s">
        <v>2874</v>
      </c>
      <c r="EY31" s="150"/>
      <c r="EZ31" s="47" t="s">
        <v>2703</v>
      </c>
      <c r="FA31" s="92">
        <f>7000+1000</f>
        <v>8000</v>
      </c>
      <c r="FD31" s="148" t="s">
        <v>2875</v>
      </c>
      <c r="FE31" s="150"/>
      <c r="FF31" s="47" t="s">
        <v>2703</v>
      </c>
      <c r="FG31" s="92">
        <v>0</v>
      </c>
      <c r="FJ31" s="150" t="s">
        <v>2876</v>
      </c>
      <c r="FK31" s="150"/>
      <c r="FL31" s="47" t="s">
        <v>1972</v>
      </c>
      <c r="FM31" s="92">
        <v>1010</v>
      </c>
      <c r="FP31" s="145" t="s">
        <v>2877</v>
      </c>
      <c r="FQ31" s="15">
        <v>8</v>
      </c>
      <c r="FR31" s="47" t="s">
        <v>2756</v>
      </c>
      <c r="FS31" s="92">
        <v>0</v>
      </c>
      <c r="FT31" s="47" t="s">
        <v>1768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2878</v>
      </c>
      <c r="GC31" s="15">
        <v>20</v>
      </c>
      <c r="GD31" s="75" t="s">
        <v>2576</v>
      </c>
      <c r="GE31" s="95"/>
      <c r="GH31" s="145" t="s">
        <v>2879</v>
      </c>
      <c r="GI31" s="15">
        <v>66.62</v>
      </c>
      <c r="GJ31" s="47" t="s">
        <v>2710</v>
      </c>
      <c r="GK31" s="92">
        <v>0</v>
      </c>
      <c r="GN31" s="145" t="s">
        <v>2880</v>
      </c>
      <c r="GO31" s="15">
        <v>14.06</v>
      </c>
      <c r="GP31" s="75" t="s">
        <v>2576</v>
      </c>
      <c r="GQ31" s="95"/>
      <c r="GR31" s="47"/>
      <c r="GS31" s="62"/>
      <c r="GT31" s="145" t="s">
        <v>2881</v>
      </c>
      <c r="GU31" s="15">
        <v>47.67</v>
      </c>
      <c r="GV31" s="67"/>
      <c r="GZ31" s="145" t="s">
        <v>2882</v>
      </c>
      <c r="HA31" s="15">
        <v>41.4</v>
      </c>
      <c r="HB31" s="67" t="s">
        <v>2883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2884</v>
      </c>
      <c r="HK31" s="163">
        <v>300</v>
      </c>
      <c r="HL31" s="196">
        <v>45</v>
      </c>
      <c r="HM31" s="148" t="s">
        <v>2392</v>
      </c>
      <c r="HP31" s="162" t="s">
        <v>2653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2128</v>
      </c>
      <c r="HU31" s="92">
        <v>2000</v>
      </c>
      <c r="HX31" s="15" t="s">
        <v>2468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2885</v>
      </c>
      <c r="IE31" s="15">
        <v>10</v>
      </c>
      <c r="IF31" s="67" t="s">
        <v>2886</v>
      </c>
      <c r="IG31" s="227">
        <v>125.91</v>
      </c>
      <c r="IH31" s="186"/>
      <c r="II31" s="204"/>
      <c r="IJ31" s="145" t="s">
        <v>2887</v>
      </c>
      <c r="IK31" s="15">
        <f>22+32.4</f>
        <v>54.4</v>
      </c>
      <c r="IL31" s="67"/>
      <c r="IM31" s="95"/>
      <c r="IN31" s="191"/>
      <c r="IP31" s="145" t="s">
        <v>2888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1277</v>
      </c>
      <c r="JA31" s="43">
        <f>SUM(JC8:JC10)</f>
        <v>1354.32</v>
      </c>
      <c r="JB31" s="244" t="s">
        <v>2889</v>
      </c>
      <c r="JC31" s="99">
        <v>74.959999999999994</v>
      </c>
      <c r="JD31" s="15" t="s">
        <v>2890</v>
      </c>
      <c r="JF31" s="155" t="s">
        <v>2585</v>
      </c>
      <c r="JG31" s="166">
        <f>SUM(JI9:JI11)</f>
        <v>2683.17</v>
      </c>
      <c r="JH31" s="145" t="s">
        <v>2891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2778</v>
      </c>
      <c r="JO31" s="195">
        <f>JK22+JM35-JQ20</f>
        <v>770</v>
      </c>
      <c r="JQ31" s="43"/>
      <c r="JR31" s="145" t="s">
        <v>2849</v>
      </c>
      <c r="JS31" s="255">
        <f>SUM(JU24:JU27)</f>
        <v>169.60000000000002</v>
      </c>
      <c r="JT31" s="170" t="s">
        <v>2778</v>
      </c>
      <c r="JU31" s="195">
        <f>JQ20+JS34-JW19</f>
        <v>70</v>
      </c>
      <c r="JZ31" s="162" t="s">
        <v>2892</v>
      </c>
      <c r="KA31" s="41">
        <f>64+30.9</f>
        <v>94.9</v>
      </c>
      <c r="KB31" s="15" t="s">
        <v>2890</v>
      </c>
      <c r="KD31" s="152" t="s">
        <v>1277</v>
      </c>
      <c r="KE31" s="43">
        <v>0</v>
      </c>
      <c r="KF31" s="196">
        <v>70</v>
      </c>
      <c r="KG31" s="237" t="s">
        <v>2713</v>
      </c>
      <c r="KH31" s="67" t="s">
        <v>2480</v>
      </c>
      <c r="KI31" s="41">
        <v>1.64</v>
      </c>
      <c r="KK31" s="47"/>
      <c r="KL31" s="145" t="s">
        <v>2410</v>
      </c>
      <c r="KM31" s="99">
        <v>57.86</v>
      </c>
      <c r="KN31" s="63" t="s">
        <v>2893</v>
      </c>
      <c r="KO31" s="41">
        <v>3.54</v>
      </c>
      <c r="KQ31" s="47"/>
      <c r="KR31" s="145" t="s">
        <v>2894</v>
      </c>
      <c r="KS31" s="41">
        <v>43.9</v>
      </c>
      <c r="KT31" s="67" t="s">
        <v>2895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2896</v>
      </c>
      <c r="LI31" s="89">
        <f>SUM(LK20:LK22)</f>
        <v>1334.26</v>
      </c>
      <c r="LJ31" s="145" t="s">
        <v>2897</v>
      </c>
      <c r="LK31" s="99">
        <f>45.98+50</f>
        <v>95.97999999999999</v>
      </c>
      <c r="LL31" s="67" t="s">
        <v>2355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2898</v>
      </c>
      <c r="LS31" s="15">
        <v>8</v>
      </c>
      <c r="LT31" s="45" t="s">
        <v>2432</v>
      </c>
      <c r="LU31" s="305"/>
      <c r="LV31" s="145" t="s">
        <v>2899</v>
      </c>
      <c r="LW31" s="41">
        <v>53.72</v>
      </c>
      <c r="LX31" s="63" t="s">
        <v>2545</v>
      </c>
      <c r="LY31" s="43"/>
      <c r="MB31" s="65" t="s">
        <v>2900</v>
      </c>
      <c r="MC31" s="55">
        <v>14.9</v>
      </c>
      <c r="MD31" s="67" t="s">
        <v>2355</v>
      </c>
      <c r="MF31" s="311"/>
      <c r="MG31" s="318"/>
      <c r="MH31" s="317" t="s">
        <v>2901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2902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2379</v>
      </c>
      <c r="MU31" s="41">
        <v>39.33</v>
      </c>
      <c r="MV31" s="207">
        <v>0</v>
      </c>
      <c r="MW31" s="43" t="s">
        <v>2505</v>
      </c>
      <c r="MX31" s="145" t="s">
        <v>2683</v>
      </c>
      <c r="MY31" s="41">
        <f>SUM(NA10:NA14)</f>
        <v>197.39</v>
      </c>
      <c r="MZ31" s="56" t="s">
        <v>2903</v>
      </c>
      <c r="NA31" s="55">
        <v>16</v>
      </c>
      <c r="NB31" s="207">
        <v>0</v>
      </c>
      <c r="NC31" s="43" t="s">
        <v>2505</v>
      </c>
      <c r="ND31" s="317" t="s">
        <v>2849</v>
      </c>
      <c r="NE31" s="255">
        <f>SUM(NG20:NG26)</f>
        <v>444.11</v>
      </c>
      <c r="NF31" s="170" t="s">
        <v>2778</v>
      </c>
      <c r="NG31" s="23">
        <f>NC27+NE33-NI24</f>
        <v>150</v>
      </c>
      <c r="NH31" s="67" t="s">
        <v>2854</v>
      </c>
      <c r="NJ31" s="150" t="s">
        <v>2904</v>
      </c>
      <c r="NK31" s="196">
        <f>-10+100</f>
        <v>90</v>
      </c>
      <c r="NL31" s="170" t="s">
        <v>2778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2905</v>
      </c>
      <c r="NS31" s="41">
        <v>74</v>
      </c>
      <c r="NT31" s="63" t="s">
        <v>2545</v>
      </c>
      <c r="NV31" s="279"/>
      <c r="NW31" s="279"/>
      <c r="NX31" s="317" t="s">
        <v>2906</v>
      </c>
      <c r="NY31" s="55">
        <v>6.2</v>
      </c>
      <c r="NZ31" s="67" t="s">
        <v>2854</v>
      </c>
      <c r="OB31" s="45" t="s">
        <v>2432</v>
      </c>
      <c r="OC31" s="305"/>
      <c r="OD31" s="317" t="s">
        <v>2907</v>
      </c>
      <c r="OE31" s="336">
        <f>30+20</f>
        <v>50</v>
      </c>
      <c r="OF31" s="67" t="s">
        <v>2908</v>
      </c>
      <c r="OH31" s="59"/>
      <c r="OI31" s="117"/>
      <c r="OJ31" s="317" t="s">
        <v>1890</v>
      </c>
      <c r="OK31" s="55"/>
      <c r="OL31" s="63" t="s">
        <v>2545</v>
      </c>
    </row>
    <row r="32" spans="1:405">
      <c r="A32" s="641" t="s">
        <v>2795</v>
      </c>
      <c r="B32" s="641"/>
      <c r="C32" s="62"/>
      <c r="D32" s="62"/>
      <c r="E32" s="62"/>
      <c r="F32" s="62"/>
      <c r="G32" s="641" t="s">
        <v>2795</v>
      </c>
      <c r="H32" s="641"/>
      <c r="K32" s="66" t="s">
        <v>2911</v>
      </c>
      <c r="L32" s="66"/>
      <c r="M32" s="635" t="s">
        <v>2890</v>
      </c>
      <c r="N32" s="635"/>
      <c r="Q32" s="65" t="s">
        <v>2191</v>
      </c>
      <c r="R32" s="15">
        <v>77.239999999999995</v>
      </c>
      <c r="S32" s="635" t="s">
        <v>2890</v>
      </c>
      <c r="T32" s="635"/>
      <c r="Y32" s="634" t="s">
        <v>363</v>
      </c>
      <c r="Z32" s="634"/>
      <c r="AC32" s="579" t="s">
        <v>1481</v>
      </c>
      <c r="AD32" s="15">
        <v>350</v>
      </c>
      <c r="AE32" s="635" t="s">
        <v>2890</v>
      </c>
      <c r="AF32" s="635"/>
      <c r="AI32" s="579" t="s">
        <v>1481</v>
      </c>
      <c r="AJ32" s="15">
        <v>200</v>
      </c>
      <c r="AK32" s="67" t="s">
        <v>2890</v>
      </c>
      <c r="AL32" s="67" t="s">
        <v>2890</v>
      </c>
      <c r="AQ32" s="67" t="s">
        <v>2890</v>
      </c>
      <c r="AR32" s="67"/>
      <c r="AW32" s="67" t="s">
        <v>2890</v>
      </c>
      <c r="AX32" s="67"/>
      <c r="BA32" s="67" t="s">
        <v>2890</v>
      </c>
      <c r="BB32" s="67"/>
      <c r="BE32" s="76" t="s">
        <v>2912</v>
      </c>
      <c r="BF32" s="15">
        <v>14</v>
      </c>
      <c r="BG32" s="67" t="s">
        <v>2890</v>
      </c>
      <c r="BH32" s="67"/>
      <c r="BM32" s="67" t="s">
        <v>2890</v>
      </c>
      <c r="BN32" s="67"/>
      <c r="BQ32" s="42" t="s">
        <v>2913</v>
      </c>
      <c r="BR32" s="42" t="s">
        <v>2914</v>
      </c>
      <c r="BS32" s="67" t="s">
        <v>2890</v>
      </c>
      <c r="BT32" s="95"/>
      <c r="BW32" s="88"/>
      <c r="BY32" s="67" t="s">
        <v>2890</v>
      </c>
      <c r="BZ32" s="99"/>
      <c r="CC32" s="88" t="s">
        <v>2915</v>
      </c>
      <c r="CD32" s="42">
        <v>82.15</v>
      </c>
      <c r="CE32" s="67" t="s">
        <v>2890</v>
      </c>
      <c r="CF32" s="99"/>
      <c r="CI32" s="101" t="s">
        <v>2916</v>
      </c>
      <c r="CJ32" s="42">
        <v>28.6</v>
      </c>
      <c r="CK32" s="67" t="s">
        <v>2890</v>
      </c>
      <c r="CL32" s="99"/>
      <c r="CO32" s="42" t="s">
        <v>2917</v>
      </c>
      <c r="CP32" s="42">
        <v>60</v>
      </c>
      <c r="CQ32" s="67" t="s">
        <v>2890</v>
      </c>
      <c r="CR32" s="99"/>
      <c r="CU32" s="42" t="s">
        <v>2918</v>
      </c>
      <c r="CV32" s="42">
        <v>11</v>
      </c>
      <c r="CW32" s="15" t="s">
        <v>2747</v>
      </c>
      <c r="CX32" s="99"/>
      <c r="DA32" s="642" t="s">
        <v>2778</v>
      </c>
      <c r="DB32" s="643"/>
      <c r="DC32" s="47" t="s">
        <v>197</v>
      </c>
      <c r="DD32" s="55"/>
      <c r="DE32" s="59" t="s">
        <v>2919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2198</v>
      </c>
      <c r="DJ32" s="90">
        <v>10000</v>
      </c>
      <c r="DM32" s="116" t="s">
        <v>2920</v>
      </c>
      <c r="DN32" s="55">
        <v>20</v>
      </c>
      <c r="DO32" s="109" t="s">
        <v>2921</v>
      </c>
      <c r="DP32" s="109"/>
      <c r="DS32" s="116" t="s">
        <v>2922</v>
      </c>
      <c r="DT32" s="55">
        <v>8.5</v>
      </c>
      <c r="DU32" s="139" t="s">
        <v>2923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2924</v>
      </c>
      <c r="EM32" s="22"/>
      <c r="EN32" s="15" t="s">
        <v>2870</v>
      </c>
      <c r="ER32" s="22" t="s">
        <v>2925</v>
      </c>
      <c r="ES32" s="22"/>
      <c r="ET32" s="67" t="s">
        <v>2926</v>
      </c>
      <c r="EU32" s="89">
        <v>1178</v>
      </c>
      <c r="EX32" s="148" t="s">
        <v>2927</v>
      </c>
      <c r="EY32" s="150"/>
      <c r="EZ32" s="47" t="s">
        <v>2756</v>
      </c>
      <c r="FA32" s="92" t="s">
        <v>646</v>
      </c>
      <c r="FD32" s="148" t="s">
        <v>2928</v>
      </c>
      <c r="FE32" s="150"/>
      <c r="FF32" s="47" t="s">
        <v>2756</v>
      </c>
      <c r="FG32" s="92">
        <v>0</v>
      </c>
      <c r="FJ32" s="148" t="s">
        <v>2929</v>
      </c>
      <c r="FK32" s="150"/>
      <c r="FL32" s="47" t="s">
        <v>1972</v>
      </c>
      <c r="FM32" s="92">
        <v>6010</v>
      </c>
      <c r="FP32" s="145" t="s">
        <v>2930</v>
      </c>
      <c r="FQ32" s="15">
        <f>6+4.39+49</f>
        <v>59.39</v>
      </c>
      <c r="FR32" s="75" t="s">
        <v>2576</v>
      </c>
      <c r="FS32" s="95"/>
      <c r="FV32" s="150" t="s">
        <v>2931</v>
      </c>
      <c r="FW32" s="150"/>
      <c r="FX32" s="67"/>
      <c r="FY32" s="95"/>
      <c r="GB32" s="145" t="s">
        <v>2864</v>
      </c>
      <c r="GC32" s="15">
        <v>10</v>
      </c>
      <c r="GD32" s="67"/>
      <c r="GE32" s="95"/>
      <c r="GH32" s="170" t="s">
        <v>2642</v>
      </c>
      <c r="GI32" s="170"/>
      <c r="GJ32" s="75" t="s">
        <v>2576</v>
      </c>
      <c r="GK32" s="95"/>
      <c r="GN32" s="145" t="s">
        <v>2932</v>
      </c>
      <c r="GO32" s="15">
        <v>10</v>
      </c>
      <c r="GP32" s="168" t="s">
        <v>2933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2934</v>
      </c>
      <c r="HA32" s="15">
        <f>12.35+5.8</f>
        <v>18.149999999999999</v>
      </c>
      <c r="HB32" s="67" t="s">
        <v>2935</v>
      </c>
      <c r="HC32" s="99">
        <v>13.5</v>
      </c>
      <c r="HF32" s="150" t="s">
        <v>2936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2937</v>
      </c>
      <c r="HP32" s="162" t="s">
        <v>2938</v>
      </c>
      <c r="HQ32" s="190"/>
      <c r="HR32" s="194">
        <v>28.54</v>
      </c>
      <c r="HS32" s="42" t="s">
        <v>2583</v>
      </c>
      <c r="HT32" s="47" t="s">
        <v>2200</v>
      </c>
      <c r="HU32" s="92">
        <v>4000</v>
      </c>
      <c r="HX32" s="15" t="s">
        <v>2939</v>
      </c>
      <c r="HY32" s="59">
        <v>10</v>
      </c>
      <c r="HZ32" s="47" t="s">
        <v>1562</v>
      </c>
      <c r="IA32" s="92">
        <v>3000</v>
      </c>
      <c r="IB32" s="145" t="s">
        <v>2818</v>
      </c>
      <c r="IC32" s="15">
        <f>SUM(IE31:IE35)</f>
        <v>210.71</v>
      </c>
      <c r="ID32" s="145" t="s">
        <v>2940</v>
      </c>
      <c r="IE32" s="15">
        <f>40.3+11+11.4+19.2</f>
        <v>81.899999999999991</v>
      </c>
      <c r="IF32" s="67" t="s">
        <v>2941</v>
      </c>
      <c r="IG32" s="95">
        <v>146</v>
      </c>
      <c r="IH32" s="186"/>
      <c r="II32" s="204"/>
      <c r="IJ32" s="145" t="s">
        <v>2942</v>
      </c>
      <c r="IK32" s="15">
        <f>10.1+8+57.3+1.6</f>
        <v>77</v>
      </c>
      <c r="IL32" s="15" t="s">
        <v>372</v>
      </c>
      <c r="IN32" s="633" t="s">
        <v>2349</v>
      </c>
      <c r="IO32" s="633"/>
      <c r="IP32" s="145" t="s">
        <v>2943</v>
      </c>
      <c r="IQ32" s="41">
        <v>6.5</v>
      </c>
      <c r="IR32" s="15" t="s">
        <v>372</v>
      </c>
      <c r="IV32" s="196">
        <v>10</v>
      </c>
      <c r="IW32" s="237" t="s">
        <v>2944</v>
      </c>
      <c r="IX32" s="15" t="s">
        <v>2945</v>
      </c>
      <c r="IZ32" s="155" t="s">
        <v>2585</v>
      </c>
      <c r="JA32" s="43">
        <f>SUM(JC11:JC13)</f>
        <v>762.4899999999999</v>
      </c>
      <c r="JB32" s="244" t="s">
        <v>2946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2947</v>
      </c>
      <c r="JZ32" s="162" t="s">
        <v>1936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2948</v>
      </c>
      <c r="KH32" s="67" t="s">
        <v>2949</v>
      </c>
      <c r="KI32" s="41"/>
      <c r="KL32" s="145" t="s">
        <v>2950</v>
      </c>
      <c r="KM32" s="99">
        <v>36.5</v>
      </c>
      <c r="KN32" s="15" t="s">
        <v>2951</v>
      </c>
      <c r="KO32" s="41">
        <v>58.2</v>
      </c>
      <c r="KR32" s="145" t="s">
        <v>2952</v>
      </c>
      <c r="KS32" s="41">
        <v>24.5</v>
      </c>
      <c r="KT32" s="67"/>
      <c r="KU32" s="41"/>
      <c r="KV32" s="59"/>
      <c r="KX32" s="65" t="s">
        <v>1810</v>
      </c>
      <c r="KY32" s="41">
        <f>16.79+10+18.2+10+17.89+10+21.84+10.3+10+19.32+2.2+15.96+15</f>
        <v>177.5</v>
      </c>
      <c r="KZ32" s="67"/>
      <c r="LD32" s="65" t="s">
        <v>1810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2953</v>
      </c>
      <c r="LK32" s="99">
        <v>43.76</v>
      </c>
      <c r="LL32" s="63" t="s">
        <v>2954</v>
      </c>
      <c r="LM32" s="41">
        <v>37.99</v>
      </c>
      <c r="LN32" s="306" t="s">
        <v>2557</v>
      </c>
      <c r="LO32" s="55">
        <f>SUM(LQ21:LQ22)</f>
        <v>245.66</v>
      </c>
      <c r="LP32" s="145" t="s">
        <v>2955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2956</v>
      </c>
      <c r="LW32" s="55">
        <v>70</v>
      </c>
      <c r="LZ32" s="45" t="s">
        <v>2432</v>
      </c>
      <c r="MA32" s="305"/>
      <c r="MB32" s="113" t="s">
        <v>2957</v>
      </c>
      <c r="MC32" s="55">
        <v>79.3</v>
      </c>
      <c r="MD32" s="63" t="s">
        <v>2958</v>
      </c>
      <c r="ME32" s="41">
        <v>182</v>
      </c>
      <c r="MF32" s="311"/>
      <c r="MG32" s="318"/>
      <c r="MH32" s="317" t="s">
        <v>2959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2960</v>
      </c>
      <c r="MO32" s="41">
        <v>8.3000000000000007</v>
      </c>
      <c r="MP32" s="67" t="s">
        <v>2474</v>
      </c>
      <c r="MQ32" s="41"/>
      <c r="MR32" s="45" t="s">
        <v>2432</v>
      </c>
      <c r="MS32" s="305"/>
      <c r="MT32" s="317" t="s">
        <v>2961</v>
      </c>
      <c r="MU32" s="41">
        <v>19.899999999999999</v>
      </c>
      <c r="MV32" s="67" t="s">
        <v>2474</v>
      </c>
      <c r="MW32" s="41"/>
      <c r="MX32" s="56" t="s">
        <v>2741</v>
      </c>
      <c r="MY32" s="41">
        <f>SUM(NA25:NA32)</f>
        <v>1888.1499999999999</v>
      </c>
      <c r="MZ32" s="56" t="s">
        <v>2962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2963</v>
      </c>
      <c r="NH32" s="67" t="s">
        <v>2964</v>
      </c>
      <c r="NL32" s="196">
        <v>40</v>
      </c>
      <c r="NM32" s="324" t="s">
        <v>554</v>
      </c>
      <c r="NN32" s="67" t="s">
        <v>2965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2966</v>
      </c>
      <c r="NS32" s="41">
        <v>65.900000000000006</v>
      </c>
      <c r="NT32" s="59" t="s">
        <v>2893</v>
      </c>
      <c r="NU32" s="41">
        <v>6.56</v>
      </c>
      <c r="NV32" s="279"/>
      <c r="NW32" s="279"/>
      <c r="NX32" s="317" t="s">
        <v>2967</v>
      </c>
      <c r="NY32" s="55">
        <f>4.6+5.35+7.55</f>
        <v>17.5</v>
      </c>
      <c r="NZ32" s="67" t="s">
        <v>2908</v>
      </c>
      <c r="OB32" s="328" t="s">
        <v>1226</v>
      </c>
      <c r="OC32" s="89">
        <f>SUM(OE6:OE8)</f>
        <v>2875.0299999999997</v>
      </c>
      <c r="OD32" s="56" t="s">
        <v>2968</v>
      </c>
      <c r="OE32" s="338">
        <v>5.4</v>
      </c>
      <c r="OF32" s="15" t="s">
        <v>372</v>
      </c>
      <c r="OJ32" s="56" t="s">
        <v>2855</v>
      </c>
      <c r="OK32" s="342">
        <v>481.6</v>
      </c>
      <c r="OL32" s="67" t="s">
        <v>2854</v>
      </c>
    </row>
    <row r="33" spans="1:404">
      <c r="A33" s="634" t="s">
        <v>363</v>
      </c>
      <c r="B33" s="634"/>
      <c r="E33" s="580" t="s">
        <v>455</v>
      </c>
      <c r="F33" s="51"/>
      <c r="G33" s="634" t="s">
        <v>363</v>
      </c>
      <c r="H33" s="634"/>
      <c r="K33" s="66" t="s">
        <v>2969</v>
      </c>
      <c r="L33" s="66">
        <v>652</v>
      </c>
      <c r="Q33" s="65" t="s">
        <v>2260</v>
      </c>
      <c r="R33" s="15">
        <v>32</v>
      </c>
      <c r="W33" s="70" t="s">
        <v>2970</v>
      </c>
      <c r="X33" s="70">
        <v>283</v>
      </c>
      <c r="Y33" s="635" t="s">
        <v>2890</v>
      </c>
      <c r="Z33" s="635"/>
      <c r="AC33" s="569" t="s">
        <v>2971</v>
      </c>
      <c r="AD33" s="15">
        <v>100</v>
      </c>
      <c r="AI33" s="569" t="s">
        <v>2971</v>
      </c>
      <c r="AJ33" s="15">
        <v>200</v>
      </c>
      <c r="AO33" s="76" t="s">
        <v>2972</v>
      </c>
      <c r="AP33" s="15">
        <f>242+12+489</f>
        <v>743</v>
      </c>
      <c r="AU33" s="76" t="s">
        <v>2973</v>
      </c>
      <c r="AV33" s="15">
        <v>24</v>
      </c>
      <c r="AY33" s="76"/>
      <c r="BE33" s="76" t="s">
        <v>2974</v>
      </c>
      <c r="BF33" s="15">
        <v>18</v>
      </c>
      <c r="BK33" s="42" t="s">
        <v>2975</v>
      </c>
      <c r="BL33" s="42" t="s">
        <v>2914</v>
      </c>
      <c r="BQ33" s="42" t="s">
        <v>2976</v>
      </c>
      <c r="BR33" s="42" t="s">
        <v>2914</v>
      </c>
      <c r="BW33" s="42" t="s">
        <v>2977</v>
      </c>
      <c r="BX33" s="42" t="s">
        <v>2978</v>
      </c>
      <c r="CC33" s="88" t="s">
        <v>2979</v>
      </c>
      <c r="CD33" s="42">
        <v>171.4</v>
      </c>
      <c r="CI33" s="101" t="s">
        <v>2980</v>
      </c>
      <c r="CJ33" s="42">
        <v>44</v>
      </c>
      <c r="CO33" s="42" t="s">
        <v>2981</v>
      </c>
      <c r="CP33" s="42">
        <v>24</v>
      </c>
      <c r="CU33" s="42" t="s">
        <v>2982</v>
      </c>
      <c r="CV33" s="42">
        <v>318</v>
      </c>
      <c r="CW33" s="75" t="s">
        <v>2795</v>
      </c>
      <c r="DA33" s="120" t="s">
        <v>2983</v>
      </c>
      <c r="DB33" s="120">
        <v>300</v>
      </c>
      <c r="DC33" s="15" t="s">
        <v>2747</v>
      </c>
      <c r="DD33" s="99"/>
      <c r="DE33" s="59" t="s">
        <v>2984</v>
      </c>
      <c r="DF33" s="42">
        <f>569.34-527</f>
        <v>42.340000000000032</v>
      </c>
      <c r="DG33" s="86" t="s">
        <v>2330</v>
      </c>
      <c r="DH33" s="55">
        <f>2*(11+53.24)</f>
        <v>128.48000000000002</v>
      </c>
      <c r="DI33" s="22"/>
      <c r="DJ33" s="90"/>
      <c r="DM33" s="116" t="s">
        <v>2985</v>
      </c>
      <c r="DN33" s="55">
        <v>10</v>
      </c>
      <c r="DP33" s="54"/>
      <c r="DS33" s="116" t="s">
        <v>2986</v>
      </c>
      <c r="DT33" s="44">
        <v>11.41</v>
      </c>
      <c r="DU33" s="109" t="s">
        <v>2987</v>
      </c>
      <c r="DV33" s="109">
        <v>214</v>
      </c>
      <c r="DY33" s="15" t="s">
        <v>2988</v>
      </c>
      <c r="DZ33" s="15">
        <f>55.46-17.24</f>
        <v>38.22</v>
      </c>
      <c r="EA33" s="569" t="s">
        <v>372</v>
      </c>
      <c r="EE33" s="15" t="s">
        <v>2989</v>
      </c>
      <c r="EF33" s="15">
        <v>10.77</v>
      </c>
      <c r="EH33" s="15" t="s">
        <v>2747</v>
      </c>
      <c r="EL33" s="22" t="s">
        <v>2990</v>
      </c>
      <c r="EM33" s="22"/>
      <c r="EN33" s="15" t="s">
        <v>197</v>
      </c>
      <c r="ER33" s="22" t="s">
        <v>2991</v>
      </c>
      <c r="ES33" s="22"/>
      <c r="EX33" s="148" t="s">
        <v>2992</v>
      </c>
      <c r="EY33" s="150"/>
      <c r="EZ33" s="75" t="s">
        <v>2576</v>
      </c>
      <c r="FA33" s="95" t="s">
        <v>646</v>
      </c>
      <c r="FD33" s="148" t="s">
        <v>2993</v>
      </c>
      <c r="FE33" s="22"/>
      <c r="FF33" s="75" t="s">
        <v>2576</v>
      </c>
      <c r="FG33" s="95" t="s">
        <v>646</v>
      </c>
      <c r="FJ33" s="148" t="s">
        <v>2994</v>
      </c>
      <c r="FK33" s="150"/>
      <c r="FL33" s="47" t="s">
        <v>1972</v>
      </c>
      <c r="FM33" s="92">
        <v>10010</v>
      </c>
      <c r="FP33" s="145" t="s">
        <v>2995</v>
      </c>
      <c r="FQ33" s="15">
        <v>26.78</v>
      </c>
      <c r="FR33" s="67" t="s">
        <v>2996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2933</v>
      </c>
      <c r="GK33" s="59">
        <v>35.1</v>
      </c>
      <c r="GN33" s="145" t="s">
        <v>2997</v>
      </c>
      <c r="GO33" s="15">
        <v>20</v>
      </c>
      <c r="GP33" s="67" t="s">
        <v>2998</v>
      </c>
      <c r="GQ33" s="95">
        <v>81</v>
      </c>
      <c r="GT33" s="170" t="s">
        <v>2642</v>
      </c>
      <c r="GU33" s="22"/>
      <c r="GV33" s="15" t="s">
        <v>372</v>
      </c>
      <c r="GZ33" s="145" t="s">
        <v>2999</v>
      </c>
      <c r="HA33" s="15">
        <v>31.78</v>
      </c>
      <c r="HB33" s="67" t="s">
        <v>3000</v>
      </c>
      <c r="HC33" s="99">
        <v>12.9</v>
      </c>
      <c r="HF33" s="174">
        <v>35</v>
      </c>
      <c r="HG33" s="182" t="s">
        <v>3001</v>
      </c>
      <c r="HH33" s="181" t="s">
        <v>2591</v>
      </c>
      <c r="HI33" s="191">
        <v>6.1</v>
      </c>
      <c r="HL33" s="196">
        <v>17</v>
      </c>
      <c r="HM33" s="148" t="s">
        <v>3002</v>
      </c>
      <c r="HP33" s="145" t="s">
        <v>2723</v>
      </c>
      <c r="HQ33" s="15">
        <f>SUM(HS24:HS29)</f>
        <v>160.6</v>
      </c>
      <c r="HR33" s="170" t="s">
        <v>3003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3004</v>
      </c>
      <c r="IE33" s="15">
        <v>30.01</v>
      </c>
      <c r="IH33" s="186"/>
      <c r="II33" s="204"/>
      <c r="IJ33" s="145" t="s">
        <v>3005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3006</v>
      </c>
      <c r="IW33" s="241">
        <v>70</v>
      </c>
      <c r="IX33" s="15" t="s">
        <v>2872</v>
      </c>
      <c r="IZ33" s="160" t="s">
        <v>2653</v>
      </c>
      <c r="JA33" s="43">
        <f>SUM(JC17:JC25)</f>
        <v>1699.2099999999998</v>
      </c>
      <c r="JB33" s="244" t="s">
        <v>3007</v>
      </c>
      <c r="JC33" s="99">
        <v>24.71</v>
      </c>
      <c r="JF33" s="145" t="s">
        <v>2723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2777</v>
      </c>
      <c r="JM33" s="43">
        <f>SUM(JO23:JO27)</f>
        <v>251.23</v>
      </c>
      <c r="JN33" s="196">
        <v>40</v>
      </c>
      <c r="JO33" s="237" t="s">
        <v>3008</v>
      </c>
      <c r="JQ33" s="43"/>
      <c r="JT33" s="196">
        <v>10</v>
      </c>
      <c r="JU33" s="237" t="s">
        <v>2713</v>
      </c>
      <c r="JZ33" s="162" t="s">
        <v>1810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3009</v>
      </c>
      <c r="KH33" s="67" t="s">
        <v>3010</v>
      </c>
      <c r="KI33" s="99">
        <v>52.8</v>
      </c>
      <c r="KL33" s="145" t="s">
        <v>3011</v>
      </c>
      <c r="KM33" s="99">
        <v>50.1</v>
      </c>
      <c r="KN33" s="67" t="s">
        <v>3012</v>
      </c>
      <c r="KO33" s="41">
        <v>16.3</v>
      </c>
      <c r="KR33" s="145" t="s">
        <v>3013</v>
      </c>
      <c r="KS33" s="99">
        <v>48.11</v>
      </c>
      <c r="KT33" s="67"/>
      <c r="KU33" s="41"/>
      <c r="KV33" s="59"/>
      <c r="KX33" s="145" t="s">
        <v>3014</v>
      </c>
      <c r="KY33" s="41">
        <v>40</v>
      </c>
      <c r="KZ33" s="63"/>
      <c r="LA33" s="41"/>
      <c r="LD33" s="145" t="s">
        <v>3015</v>
      </c>
      <c r="LE33" s="41">
        <v>40</v>
      </c>
      <c r="LF33" s="67" t="s">
        <v>2854</v>
      </c>
      <c r="LH33" s="153" t="s">
        <v>3016</v>
      </c>
      <c r="LI33" s="43">
        <f>SUM(LK10:LK16)</f>
        <v>1005.08</v>
      </c>
      <c r="LJ33" s="145" t="s">
        <v>3017</v>
      </c>
      <c r="LK33" s="99">
        <f>15.1+24.6</f>
        <v>39.700000000000003</v>
      </c>
      <c r="LL33" s="63" t="s">
        <v>3018</v>
      </c>
      <c r="LM33" s="41">
        <v>10184</v>
      </c>
      <c r="LN33" s="42" t="s">
        <v>2612</v>
      </c>
      <c r="LO33" s="307">
        <f>SUM(LQ13:LQ14)</f>
        <v>3219.09</v>
      </c>
      <c r="LP33" s="145" t="s">
        <v>3019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3020</v>
      </c>
      <c r="LW33" s="99">
        <v>16</v>
      </c>
      <c r="LX33" s="67" t="s">
        <v>2355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3021</v>
      </c>
      <c r="MI33" s="41">
        <v>25.8</v>
      </c>
      <c r="ML33" s="311"/>
      <c r="MM33" s="311"/>
      <c r="MN33" s="317" t="s">
        <v>2950</v>
      </c>
      <c r="MO33" s="41">
        <v>30.5</v>
      </c>
      <c r="MP33" s="15" t="s">
        <v>3022</v>
      </c>
      <c r="MQ33" s="41">
        <v>1593.84</v>
      </c>
      <c r="MR33" s="319" t="s">
        <v>1226</v>
      </c>
      <c r="MS33" s="55">
        <f>SUM(MU6:MU8)</f>
        <v>4360.08</v>
      </c>
      <c r="MT33" s="317" t="s">
        <v>3023</v>
      </c>
      <c r="MU33" s="41">
        <v>73.14</v>
      </c>
      <c r="MV33" s="63" t="s">
        <v>3024</v>
      </c>
      <c r="MW33" s="43">
        <v>40000</v>
      </c>
      <c r="MX33" s="317" t="s">
        <v>2723</v>
      </c>
      <c r="MY33" s="38">
        <f>SUM(NA15:NA24)</f>
        <v>403.98</v>
      </c>
      <c r="MZ33" s="42" t="s">
        <v>3025</v>
      </c>
      <c r="NA33" s="55">
        <f>16+9</f>
        <v>25</v>
      </c>
      <c r="NB33" s="15" t="s">
        <v>3026</v>
      </c>
      <c r="NC33" s="41">
        <v>215.8</v>
      </c>
      <c r="ND33" s="150" t="s">
        <v>2904</v>
      </c>
      <c r="NE33" s="196">
        <v>200</v>
      </c>
      <c r="NF33" s="196">
        <v>20</v>
      </c>
      <c r="NG33" s="237" t="s">
        <v>3027</v>
      </c>
      <c r="NH33" s="15" t="s">
        <v>372</v>
      </c>
      <c r="NK33" s="54"/>
      <c r="NL33" s="63" t="s">
        <v>3028</v>
      </c>
      <c r="NM33" s="55">
        <v>33</v>
      </c>
      <c r="NN33" s="67" t="s">
        <v>3029</v>
      </c>
      <c r="NP33" s="145" t="s">
        <v>2683</v>
      </c>
      <c r="NQ33" s="41">
        <f>SUM(NS11:NS17)</f>
        <v>368.64000000000004</v>
      </c>
      <c r="NR33" s="56" t="s">
        <v>3030</v>
      </c>
      <c r="NS33" s="41">
        <v>120.07</v>
      </c>
      <c r="NT33" s="67" t="s">
        <v>2854</v>
      </c>
      <c r="NV33" s="279"/>
      <c r="NW33" s="279"/>
      <c r="NX33" s="317" t="s">
        <v>3031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3032</v>
      </c>
      <c r="OE33" s="339">
        <v>35</v>
      </c>
      <c r="OF33" s="15" t="s">
        <v>3033</v>
      </c>
      <c r="OH33" s="45" t="s">
        <v>2432</v>
      </c>
      <c r="OI33" s="305"/>
      <c r="OJ33" s="56" t="s">
        <v>2909</v>
      </c>
      <c r="OK33" s="41">
        <v>20.95</v>
      </c>
      <c r="OL33" s="67" t="s">
        <v>2908</v>
      </c>
    </row>
    <row r="34" spans="1:404">
      <c r="F34" s="51"/>
      <c r="K34" s="66" t="s">
        <v>3035</v>
      </c>
      <c r="L34" s="66">
        <v>76</v>
      </c>
      <c r="N34" s="15"/>
      <c r="Q34" s="65" t="s">
        <v>2324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2978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2795</v>
      </c>
      <c r="DE34" s="59" t="s">
        <v>3045</v>
      </c>
      <c r="DF34" s="42">
        <f>17663-17242</f>
        <v>421</v>
      </c>
      <c r="DG34" s="86" t="s">
        <v>2388</v>
      </c>
      <c r="DH34" s="55">
        <f>64+32</f>
        <v>96</v>
      </c>
      <c r="DI34" s="22" t="s">
        <v>2050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2870</v>
      </c>
      <c r="EE34" s="15" t="s">
        <v>1837</v>
      </c>
      <c r="EF34" s="15">
        <v>113.2</v>
      </c>
      <c r="EH34" s="15" t="s">
        <v>2890</v>
      </c>
      <c r="EL34" s="22" t="s">
        <v>2993</v>
      </c>
      <c r="EM34" s="22"/>
      <c r="EN34" s="15" t="s">
        <v>2747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2046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2996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2872</v>
      </c>
      <c r="GZ34" s="145" t="s">
        <v>3059</v>
      </c>
      <c r="HA34" s="15">
        <v>64.86</v>
      </c>
      <c r="HB34" s="67" t="s">
        <v>3000</v>
      </c>
      <c r="HC34" s="99">
        <v>22.5</v>
      </c>
      <c r="HF34" s="174">
        <v>40</v>
      </c>
      <c r="HG34" s="148" t="s">
        <v>2768</v>
      </c>
      <c r="HL34" s="196">
        <v>6</v>
      </c>
      <c r="HM34" s="148" t="s">
        <v>3060</v>
      </c>
      <c r="HP34" s="145" t="s">
        <v>2818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2945</v>
      </c>
      <c r="IN34" s="70" t="s">
        <v>1286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2945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2777</v>
      </c>
      <c r="JG34" s="43">
        <f>SUM(JI27:JI31)</f>
        <v>303.64</v>
      </c>
      <c r="JH34" s="194">
        <v>23.04</v>
      </c>
      <c r="JI34" s="44"/>
      <c r="JJ34" s="15" t="s">
        <v>2890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2841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2854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2838</v>
      </c>
      <c r="LM34" s="41">
        <v>28.82</v>
      </c>
      <c r="LN34" s="153" t="s">
        <v>3016</v>
      </c>
      <c r="LO34" s="41">
        <f>SUM(LQ15:LQ18)</f>
        <v>1348.41</v>
      </c>
      <c r="LP34" s="145" t="s">
        <v>3079</v>
      </c>
      <c r="LQ34" s="99">
        <v>32</v>
      </c>
      <c r="LT34" s="293" t="s">
        <v>2612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2854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2432</v>
      </c>
      <c r="MM34" s="305"/>
      <c r="MN34" s="317" t="s">
        <v>3082</v>
      </c>
      <c r="MO34" s="41">
        <v>28.74</v>
      </c>
      <c r="MP34" s="63"/>
      <c r="MR34" s="153" t="s">
        <v>2846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2849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3022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2355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3033</v>
      </c>
      <c r="OB34" s="42" t="s">
        <v>2612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328" t="s">
        <v>1226</v>
      </c>
      <c r="OI34" s="55">
        <f>SUM(OK6:OK8)</f>
        <v>3137.03</v>
      </c>
      <c r="OJ34" s="56" t="s">
        <v>1647</v>
      </c>
      <c r="OK34" s="41">
        <v>49.8</v>
      </c>
      <c r="OL34" s="15" t="s">
        <v>372</v>
      </c>
    </row>
    <row r="35" spans="1:404" ht="14.25" customHeight="1">
      <c r="A35" s="636"/>
      <c r="B35" s="636"/>
      <c r="E35" s="575" t="s">
        <v>493</v>
      </c>
      <c r="F35" s="51">
        <v>250</v>
      </c>
      <c r="G35" s="636"/>
      <c r="H35" s="636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2890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2870</v>
      </c>
      <c r="DP35" s="98"/>
      <c r="DS35" s="116" t="s">
        <v>2879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2890</v>
      </c>
      <c r="ER35" s="22"/>
      <c r="ES35" s="22"/>
      <c r="ET35" s="15" t="s">
        <v>2872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2819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2768</v>
      </c>
      <c r="HT35" s="180"/>
      <c r="HU35" s="95"/>
      <c r="HV35" s="148" t="s">
        <v>3119</v>
      </c>
      <c r="HW35" s="163">
        <v>220</v>
      </c>
      <c r="HX35" s="170" t="s">
        <v>2778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2872</v>
      </c>
      <c r="IN35" s="167" t="s">
        <v>1277</v>
      </c>
      <c r="IO35" s="43">
        <v>0</v>
      </c>
      <c r="IP35" s="194">
        <v>44.08</v>
      </c>
      <c r="IQ35" s="44"/>
      <c r="IR35" s="15" t="s">
        <v>2872</v>
      </c>
      <c r="IU35" s="228"/>
      <c r="IV35" s="67" t="s">
        <v>3064</v>
      </c>
      <c r="IW35" s="99">
        <v>23.08</v>
      </c>
      <c r="IZ35" s="145" t="s">
        <v>2777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2778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2849</v>
      </c>
      <c r="KE35" s="255">
        <f>SUM(KG20:KG26)</f>
        <v>339.56</v>
      </c>
      <c r="KF35" s="196">
        <v>25.9</v>
      </c>
      <c r="KG35" s="237" t="s">
        <v>3127</v>
      </c>
      <c r="KH35" s="67" t="s">
        <v>2474</v>
      </c>
      <c r="KJ35" s="45" t="s">
        <v>2432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2432</v>
      </c>
      <c r="KQ35" s="45"/>
      <c r="KR35" s="145" t="s">
        <v>2376</v>
      </c>
      <c r="KS35" s="99">
        <v>40.4</v>
      </c>
      <c r="KT35" s="67" t="s">
        <v>2854</v>
      </c>
      <c r="KX35" s="145" t="s">
        <v>3130</v>
      </c>
      <c r="KY35" s="41">
        <v>13.5</v>
      </c>
      <c r="KZ35" s="67" t="s">
        <v>3131</v>
      </c>
      <c r="LA35" s="47"/>
      <c r="LB35" s="45" t="s">
        <v>2432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2950</v>
      </c>
      <c r="LQ35" s="99">
        <v>36.799999999999997</v>
      </c>
      <c r="LT35" s="313" t="s">
        <v>3016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3020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2612</v>
      </c>
      <c r="MS35" s="41">
        <v>0</v>
      </c>
      <c r="MT35" s="65" t="s">
        <v>3139</v>
      </c>
      <c r="MU35" s="41">
        <v>354.25</v>
      </c>
      <c r="MV35" s="15" t="s">
        <v>3022</v>
      </c>
      <c r="MW35" s="41">
        <v>1593.84</v>
      </c>
      <c r="MZ35" s="320">
        <v>26.16</v>
      </c>
      <c r="NA35" s="44" t="s">
        <v>2180</v>
      </c>
      <c r="NB35" s="67" t="s">
        <v>2854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2842</v>
      </c>
      <c r="OE35" s="339">
        <v>40.35</v>
      </c>
      <c r="OH35" s="153" t="s">
        <v>2557</v>
      </c>
      <c r="OI35" s="55">
        <f>SUM(OK9:OK11)</f>
        <v>8576.7800000000007</v>
      </c>
      <c r="OJ35" s="56" t="s">
        <v>3034</v>
      </c>
      <c r="OK35" s="41"/>
      <c r="OL35" s="15" t="s">
        <v>3033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2911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2890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37" t="s">
        <v>2394</v>
      </c>
      <c r="DT36" s="638"/>
      <c r="DU36" s="569" t="s">
        <v>2870</v>
      </c>
      <c r="DV36" s="98"/>
      <c r="DY36" s="15" t="s">
        <v>3159</v>
      </c>
      <c r="DZ36" s="15">
        <v>100</v>
      </c>
      <c r="EA36" s="15" t="s">
        <v>2747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2870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2756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2872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2747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2872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2200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2890</v>
      </c>
      <c r="IN36" s="155" t="s">
        <v>2585</v>
      </c>
      <c r="IO36" s="43">
        <f>SUM(IQ10:IQ11)</f>
        <v>1105.4099999999999</v>
      </c>
      <c r="IP36" s="170" t="s">
        <v>2778</v>
      </c>
      <c r="IQ36" s="53">
        <f>IM23+IO40-IS19</f>
        <v>680</v>
      </c>
      <c r="IR36" s="15" t="s">
        <v>2890</v>
      </c>
      <c r="IV36" s="67" t="s">
        <v>3180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2854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2778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2778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2854</v>
      </c>
      <c r="NP36" s="317" t="s">
        <v>2849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3033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40">
        <v>7.12</v>
      </c>
      <c r="OF36" s="15" t="s">
        <v>3200</v>
      </c>
      <c r="OH36" s="42" t="s">
        <v>2612</v>
      </c>
      <c r="OI36" s="18">
        <f>SUM(OK12:OK13)</f>
        <v>592.6</v>
      </c>
      <c r="OJ36" s="42" t="s">
        <v>3088</v>
      </c>
      <c r="OK36" s="340"/>
      <c r="OL36" s="15" t="s">
        <v>3087</v>
      </c>
    </row>
    <row r="37" spans="1:404" ht="12.75" customHeight="1">
      <c r="W37" s="70" t="s">
        <v>2973</v>
      </c>
      <c r="X37" s="70">
        <f>70+16</f>
        <v>86</v>
      </c>
      <c r="AO37" s="76" t="s">
        <v>3201</v>
      </c>
      <c r="AP37" s="15">
        <v>22</v>
      </c>
      <c r="AU37" s="15" t="s">
        <v>3202</v>
      </c>
      <c r="AV37" s="15">
        <v>118</v>
      </c>
      <c r="BE37" s="15" t="s">
        <v>3203</v>
      </c>
      <c r="BF37" s="15">
        <v>134</v>
      </c>
      <c r="BK37" s="42" t="s">
        <v>3204</v>
      </c>
      <c r="BL37" s="42">
        <v>250</v>
      </c>
      <c r="BQ37" s="42" t="s">
        <v>3149</v>
      </c>
      <c r="BR37" s="42">
        <v>300</v>
      </c>
      <c r="CC37" s="42" t="s">
        <v>3205</v>
      </c>
      <c r="CD37" s="42">
        <v>180</v>
      </c>
      <c r="CI37" s="42" t="s">
        <v>3206</v>
      </c>
      <c r="CJ37" s="42">
        <v>58</v>
      </c>
      <c r="CO37" s="42" t="s">
        <v>3207</v>
      </c>
      <c r="CP37" s="42">
        <v>39</v>
      </c>
      <c r="CU37" s="42" t="s">
        <v>3208</v>
      </c>
      <c r="CV37" s="42">
        <v>10.000999999999999</v>
      </c>
      <c r="DA37" s="42" t="s">
        <v>3209</v>
      </c>
      <c r="DB37" s="59">
        <v>192.6</v>
      </c>
      <c r="DG37" s="116" t="s">
        <v>3210</v>
      </c>
      <c r="DH37" s="55">
        <v>127.12</v>
      </c>
      <c r="DI37" s="58"/>
      <c r="DJ37" s="127"/>
      <c r="DM37" s="129" t="s">
        <v>3211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3212</v>
      </c>
      <c r="DZ37" s="15">
        <v>49.8</v>
      </c>
      <c r="EA37" s="15" t="s">
        <v>2890</v>
      </c>
      <c r="EE37" s="15" t="s">
        <v>3213</v>
      </c>
      <c r="EL37" s="22" t="s">
        <v>3214</v>
      </c>
      <c r="EM37" s="22"/>
      <c r="ER37" s="47" t="s">
        <v>3152</v>
      </c>
      <c r="ES37" s="47">
        <v>749</v>
      </c>
      <c r="ET37" s="15" t="s">
        <v>197</v>
      </c>
      <c r="EX37" s="59" t="s">
        <v>3215</v>
      </c>
      <c r="EY37" s="15">
        <v>7</v>
      </c>
      <c r="EZ37" s="15" t="s">
        <v>2872</v>
      </c>
      <c r="FD37" s="59" t="s">
        <v>3164</v>
      </c>
      <c r="FE37" s="47">
        <v>14.08</v>
      </c>
      <c r="FF37" s="67" t="s">
        <v>3216</v>
      </c>
      <c r="FG37" s="55">
        <v>211</v>
      </c>
      <c r="FJ37" s="168" t="s">
        <v>3217</v>
      </c>
      <c r="FK37" s="47">
        <v>26.29</v>
      </c>
      <c r="FL37" s="75" t="s">
        <v>2576</v>
      </c>
      <c r="FM37" s="95"/>
      <c r="FP37" s="170" t="s">
        <v>2642</v>
      </c>
      <c r="FQ37" s="170"/>
      <c r="FR37" s="15" t="s">
        <v>2872</v>
      </c>
      <c r="FV37" s="168" t="s">
        <v>3218</v>
      </c>
      <c r="FW37" s="59">
        <v>127.1</v>
      </c>
      <c r="FX37" s="15" t="s">
        <v>197</v>
      </c>
      <c r="GB37" s="148" t="s">
        <v>3219</v>
      </c>
      <c r="GC37" s="150"/>
      <c r="GH37" s="148" t="s">
        <v>2810</v>
      </c>
      <c r="GI37" s="150"/>
      <c r="GJ37" s="67"/>
      <c r="GK37" s="95"/>
      <c r="GN37" s="145" t="s">
        <v>2879</v>
      </c>
      <c r="GO37" s="15">
        <v>67.8</v>
      </c>
      <c r="GP37" s="67" t="s">
        <v>3220</v>
      </c>
      <c r="GQ37" s="95"/>
      <c r="GT37" s="174">
        <v>80</v>
      </c>
      <c r="GU37" s="148" t="s">
        <v>2713</v>
      </c>
      <c r="GV37" s="15" t="s">
        <v>2890</v>
      </c>
      <c r="GZ37" s="145" t="s">
        <v>3157</v>
      </c>
      <c r="HA37" s="15">
        <v>49.98</v>
      </c>
      <c r="HF37" s="180" t="s">
        <v>3221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2948</v>
      </c>
      <c r="HT37" s="181"/>
      <c r="HU37" s="95"/>
      <c r="HX37" s="196">
        <v>40</v>
      </c>
      <c r="HY37" s="148" t="s">
        <v>2713</v>
      </c>
      <c r="HZ37" s="67" t="s">
        <v>2590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3222</v>
      </c>
      <c r="IV37" s="67" t="s">
        <v>2012</v>
      </c>
      <c r="IW37" s="99">
        <v>104.35</v>
      </c>
      <c r="JB37" s="194">
        <v>23.85</v>
      </c>
      <c r="JC37" s="44"/>
      <c r="JF37" s="148" t="s">
        <v>3223</v>
      </c>
      <c r="JG37" s="163">
        <v>200</v>
      </c>
      <c r="JH37" s="196">
        <v>8</v>
      </c>
      <c r="JI37" s="237" t="s">
        <v>3224</v>
      </c>
      <c r="JN37" s="196">
        <v>192.7</v>
      </c>
      <c r="JO37" s="237" t="s">
        <v>3225</v>
      </c>
      <c r="JP37" s="15" t="s">
        <v>2890</v>
      </c>
      <c r="JS37" s="226"/>
      <c r="JT37" s="256" t="s">
        <v>3226</v>
      </c>
      <c r="JU37" s="268">
        <v>5.35</v>
      </c>
      <c r="JZ37" s="145" t="s">
        <v>3227</v>
      </c>
      <c r="KA37" s="41">
        <f>45.73</f>
        <v>45.73</v>
      </c>
      <c r="KF37" s="262" t="s">
        <v>3228</v>
      </c>
      <c r="KG37" s="15">
        <v>324</v>
      </c>
      <c r="KJ37" s="169" t="s">
        <v>2896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2896</v>
      </c>
      <c r="KQ37" s="89">
        <f>SUM(KS17:KS19)</f>
        <v>1533.58</v>
      </c>
      <c r="KR37" s="145" t="s">
        <v>3229</v>
      </c>
      <c r="KS37" s="99">
        <f>7.5+7.5</f>
        <v>15</v>
      </c>
      <c r="KT37" s="67" t="s">
        <v>1819</v>
      </c>
      <c r="KX37" s="145" t="s">
        <v>3230</v>
      </c>
      <c r="KY37" s="41">
        <f>20+22+11+15+9+9</f>
        <v>86</v>
      </c>
      <c r="KZ37" s="15" t="s">
        <v>372</v>
      </c>
      <c r="LB37" s="169" t="s">
        <v>2896</v>
      </c>
      <c r="LC37" s="89">
        <f>SUM(LE21:LE24)</f>
        <v>11790.86</v>
      </c>
      <c r="LD37" s="145" t="s">
        <v>3231</v>
      </c>
      <c r="LE37" s="99">
        <v>12</v>
      </c>
      <c r="LF37" s="15" t="s">
        <v>3087</v>
      </c>
      <c r="LH37" s="145" t="s">
        <v>2849</v>
      </c>
      <c r="LI37" s="255">
        <f>SUM(LK30:LK37)</f>
        <v>456.59999999999997</v>
      </c>
      <c r="LJ37" s="145" t="s">
        <v>3232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3233</v>
      </c>
      <c r="LQ37" s="99">
        <v>67.38</v>
      </c>
      <c r="LR37" s="67" t="s">
        <v>2854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2854</v>
      </c>
      <c r="LZ37" s="285" t="s">
        <v>3016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3234</v>
      </c>
      <c r="MI37" s="41">
        <v>6.9</v>
      </c>
      <c r="MJ37" s="67" t="s">
        <v>2355</v>
      </c>
      <c r="ML37" s="42" t="s">
        <v>2612</v>
      </c>
      <c r="MM37" s="41">
        <f>SUM(MO9:MO9)</f>
        <v>1476</v>
      </c>
      <c r="MN37" s="113" t="s">
        <v>3235</v>
      </c>
      <c r="MO37" s="55">
        <v>550</v>
      </c>
      <c r="MP37" s="63"/>
      <c r="MQ37" s="41"/>
      <c r="MR37" s="285" t="s">
        <v>3016</v>
      </c>
      <c r="MS37" s="41">
        <f>SUM(MU34:MU37)</f>
        <v>1990.12</v>
      </c>
      <c r="MT37" s="65" t="s">
        <v>3236</v>
      </c>
      <c r="MU37" s="55">
        <v>588.6</v>
      </c>
      <c r="MV37" s="67" t="s">
        <v>2854</v>
      </c>
      <c r="MZ37" s="196">
        <v>50</v>
      </c>
      <c r="NA37" s="324" t="s">
        <v>3237</v>
      </c>
      <c r="NB37" s="15" t="s">
        <v>372</v>
      </c>
      <c r="NG37" s="59"/>
      <c r="NH37" s="15" t="s">
        <v>3200</v>
      </c>
      <c r="NN37" s="67" t="s">
        <v>3238</v>
      </c>
      <c r="NR37" s="320">
        <v>24.95</v>
      </c>
      <c r="NS37" s="44"/>
      <c r="NT37" s="15" t="s">
        <v>3087</v>
      </c>
      <c r="NV37" s="279"/>
      <c r="NW37" s="279"/>
      <c r="NX37" s="317" t="s">
        <v>3239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3144</v>
      </c>
      <c r="OE37" s="44">
        <v>351</v>
      </c>
      <c r="OF37" s="15" t="s">
        <v>3240</v>
      </c>
      <c r="OH37" s="145" t="s">
        <v>2683</v>
      </c>
      <c r="OI37" s="41">
        <f>SUM(OK14:OK21)</f>
        <v>330.39</v>
      </c>
      <c r="OJ37" s="42" t="s">
        <v>3144</v>
      </c>
      <c r="OK37" s="44">
        <f>380+202+84</f>
        <v>666</v>
      </c>
    </row>
    <row r="38" spans="1:404">
      <c r="Q38" s="579" t="s">
        <v>1481</v>
      </c>
      <c r="R38" s="15">
        <v>700</v>
      </c>
      <c r="AO38" s="76" t="s">
        <v>3241</v>
      </c>
      <c r="AP38" s="15">
        <v>111</v>
      </c>
      <c r="AU38" s="15" t="s">
        <v>3242</v>
      </c>
      <c r="AV38" s="15">
        <v>134</v>
      </c>
      <c r="BQ38" s="42" t="s">
        <v>3204</v>
      </c>
      <c r="BR38" s="42">
        <v>150</v>
      </c>
      <c r="CC38" s="42" t="s">
        <v>1293</v>
      </c>
      <c r="CD38" s="42">
        <f>6.8+82.4</f>
        <v>89.2</v>
      </c>
      <c r="CI38" s="42" t="s">
        <v>3042</v>
      </c>
      <c r="CJ38" s="42">
        <v>25</v>
      </c>
      <c r="CO38" s="42" t="s">
        <v>3243</v>
      </c>
      <c r="CP38" s="42">
        <v>74.8</v>
      </c>
      <c r="CU38" s="42" t="s">
        <v>3244</v>
      </c>
      <c r="CV38" s="42">
        <f>50+10</f>
        <v>60</v>
      </c>
      <c r="CW38" s="102"/>
      <c r="DA38" s="42" t="s">
        <v>3245</v>
      </c>
      <c r="DB38" s="42">
        <v>40.6</v>
      </c>
      <c r="DG38" s="116" t="s">
        <v>3246</v>
      </c>
      <c r="DH38" s="55">
        <v>28</v>
      </c>
      <c r="DI38" s="67" t="s">
        <v>1482</v>
      </c>
      <c r="DJ38" s="92">
        <v>-20000</v>
      </c>
      <c r="DM38" s="130">
        <v>200</v>
      </c>
      <c r="DN38" s="122"/>
      <c r="DO38" s="15" t="s">
        <v>2747</v>
      </c>
      <c r="DS38" s="142" t="s">
        <v>3247</v>
      </c>
      <c r="DT38" s="141"/>
      <c r="DU38" s="15" t="s">
        <v>2747</v>
      </c>
      <c r="DY38" s="15" t="s">
        <v>3248</v>
      </c>
      <c r="DZ38" s="15">
        <v>34</v>
      </c>
      <c r="EE38" s="15" t="s">
        <v>3249</v>
      </c>
      <c r="EF38" s="15">
        <v>40</v>
      </c>
      <c r="EH38" s="102"/>
      <c r="EL38" s="22" t="s">
        <v>3250</v>
      </c>
      <c r="EM38" s="22"/>
      <c r="ER38" s="59" t="s">
        <v>3251</v>
      </c>
      <c r="ES38" s="59">
        <f>710+22</f>
        <v>732</v>
      </c>
      <c r="ET38" s="15" t="s">
        <v>2747</v>
      </c>
      <c r="EX38" s="59" t="s">
        <v>3252</v>
      </c>
      <c r="EY38" s="47">
        <v>4.83</v>
      </c>
      <c r="EZ38" s="15" t="s">
        <v>2870</v>
      </c>
      <c r="FD38" s="59" t="s">
        <v>3253</v>
      </c>
      <c r="FE38" s="47">
        <v>78.69</v>
      </c>
      <c r="FF38" s="67" t="s">
        <v>3254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3255</v>
      </c>
      <c r="FW38" s="59">
        <v>8.5299999999999994</v>
      </c>
      <c r="FX38" s="15" t="s">
        <v>2747</v>
      </c>
      <c r="GB38" s="148" t="s">
        <v>3256</v>
      </c>
      <c r="GC38" s="150"/>
      <c r="GH38" s="168" t="s">
        <v>3257</v>
      </c>
      <c r="GI38" s="59">
        <v>100</v>
      </c>
      <c r="GJ38" s="67"/>
      <c r="GK38" s="95"/>
      <c r="GN38" s="145" t="s">
        <v>3258</v>
      </c>
      <c r="GO38" s="15">
        <v>12.84</v>
      </c>
      <c r="GP38" s="67" t="s">
        <v>3259</v>
      </c>
      <c r="GQ38" s="15">
        <f>GU16</f>
        <v>84250</v>
      </c>
      <c r="GT38" s="174">
        <v>5</v>
      </c>
      <c r="GU38" s="148" t="s">
        <v>3260</v>
      </c>
      <c r="GZ38" s="145" t="s">
        <v>3261</v>
      </c>
      <c r="HA38" s="15">
        <f>36.3+3.2+61.6</f>
        <v>101.1</v>
      </c>
      <c r="HB38" s="15" t="s">
        <v>372</v>
      </c>
      <c r="HF38" s="180" t="s">
        <v>3262</v>
      </c>
      <c r="HG38" s="156">
        <v>17367.45</v>
      </c>
      <c r="HH38" s="15" t="s">
        <v>2747</v>
      </c>
      <c r="HR38" s="180" t="s">
        <v>3263</v>
      </c>
      <c r="HS38" s="197">
        <v>9.9</v>
      </c>
      <c r="HT38" s="15" t="s">
        <v>372</v>
      </c>
      <c r="HX38" s="196">
        <v>40</v>
      </c>
      <c r="HY38" s="148" t="s">
        <v>3264</v>
      </c>
      <c r="HZ38" s="181" t="s">
        <v>2773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3265</v>
      </c>
      <c r="IV38" s="67" t="s">
        <v>2012</v>
      </c>
      <c r="IW38" s="99">
        <v>51.81</v>
      </c>
      <c r="IZ38" s="148" t="s">
        <v>3266</v>
      </c>
      <c r="JA38" s="163">
        <v>200</v>
      </c>
      <c r="JB38" s="170" t="s">
        <v>2778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3267</v>
      </c>
      <c r="JT38" s="257" t="s">
        <v>3268</v>
      </c>
      <c r="JU38" s="269">
        <v>2.2000000000000002</v>
      </c>
      <c r="JZ38" s="145" t="s">
        <v>3269</v>
      </c>
      <c r="KA38" s="99">
        <v>33.03</v>
      </c>
      <c r="KF38" s="283" t="s">
        <v>3270</v>
      </c>
      <c r="KG38" s="15">
        <v>39.700000000000003</v>
      </c>
      <c r="KJ38" s="284" t="s">
        <v>2612</v>
      </c>
      <c r="KK38" s="43">
        <v>0</v>
      </c>
      <c r="KL38" s="170" t="s">
        <v>2778</v>
      </c>
      <c r="KM38" s="195">
        <f>KI27+KK45-KO28</f>
        <v>270</v>
      </c>
      <c r="KN38" s="67"/>
      <c r="KO38" s="41"/>
      <c r="KP38" s="153" t="s">
        <v>3271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3272</v>
      </c>
      <c r="KY38" s="41">
        <v>707.68</v>
      </c>
      <c r="KZ38" s="15" t="s">
        <v>3191</v>
      </c>
      <c r="LB38" s="284" t="s">
        <v>2612</v>
      </c>
      <c r="LC38" s="166">
        <f>SUM(LE10:LE13)</f>
        <v>3622.06</v>
      </c>
      <c r="LD38" s="145" t="s">
        <v>3273</v>
      </c>
      <c r="LE38" s="99">
        <f>34.12+23.77</f>
        <v>57.89</v>
      </c>
      <c r="LF38" s="15" t="s">
        <v>3274</v>
      </c>
      <c r="LJ38" s="42" t="s">
        <v>2669</v>
      </c>
      <c r="LK38" s="44">
        <f>97+232+92</f>
        <v>421</v>
      </c>
      <c r="LL38" s="15" t="s">
        <v>372</v>
      </c>
      <c r="LN38" s="145" t="s">
        <v>2849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3275</v>
      </c>
      <c r="LT38" s="145" t="s">
        <v>2849</v>
      </c>
      <c r="LU38" s="308">
        <f>SUM(LW27:LW32)</f>
        <v>500.96000000000004</v>
      </c>
      <c r="LV38" s="196">
        <v>60</v>
      </c>
      <c r="LW38" s="275" t="s">
        <v>3276</v>
      </c>
      <c r="LX38" s="67" t="s">
        <v>3136</v>
      </c>
      <c r="LZ38" s="113" t="s">
        <v>3135</v>
      </c>
      <c r="MA38" s="38">
        <f>SUM(MC32:MC34)</f>
        <v>183.3</v>
      </c>
      <c r="MB38" s="170" t="s">
        <v>2778</v>
      </c>
      <c r="MC38" s="23">
        <f>LY25+MA42-ME25</f>
        <v>230</v>
      </c>
      <c r="MD38" s="15" t="s">
        <v>3277</v>
      </c>
      <c r="MF38" s="311"/>
      <c r="MG38" s="311"/>
      <c r="MH38" s="317" t="s">
        <v>3278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3279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2239</v>
      </c>
      <c r="MU38" s="55">
        <v>27.57</v>
      </c>
      <c r="MV38" s="67" t="s">
        <v>3280</v>
      </c>
      <c r="MY38" s="54"/>
      <c r="MZ38" s="196">
        <v>10</v>
      </c>
      <c r="NA38" s="237" t="s">
        <v>3281</v>
      </c>
      <c r="NH38" s="15" t="s">
        <v>3240</v>
      </c>
      <c r="NP38" s="150" t="s">
        <v>3282</v>
      </c>
      <c r="NQ38" s="163">
        <v>505</v>
      </c>
      <c r="NR38" s="170" t="s">
        <v>2778</v>
      </c>
      <c r="NS38" s="23">
        <f>NO27+NQ38-NU25</f>
        <v>15</v>
      </c>
      <c r="NV38" s="279"/>
      <c r="NW38" s="279"/>
      <c r="NX38" s="317" t="s">
        <v>3283</v>
      </c>
      <c r="NY38" s="55">
        <v>8.6</v>
      </c>
      <c r="NZ38" s="15" t="s">
        <v>3240</v>
      </c>
      <c r="OB38" s="317" t="s">
        <v>2849</v>
      </c>
      <c r="OC38" s="255">
        <f>SUM(OE24:OE30)</f>
        <v>149.93</v>
      </c>
      <c r="OD38" s="320">
        <v>47.57</v>
      </c>
      <c r="OE38" s="44" t="s">
        <v>3284</v>
      </c>
      <c r="OH38" s="56" t="s">
        <v>2741</v>
      </c>
      <c r="OI38" s="41">
        <f>SUM(OK32:OK35)</f>
        <v>552.35</v>
      </c>
      <c r="OJ38" s="320">
        <v>23.52</v>
      </c>
      <c r="OK38" s="44"/>
      <c r="OL38" s="15" t="s">
        <v>3200</v>
      </c>
    </row>
    <row r="39" spans="1:404">
      <c r="K39" s="15" t="s">
        <v>3286</v>
      </c>
      <c r="L39" s="15">
        <v>95</v>
      </c>
      <c r="Q39" s="569" t="s">
        <v>2971</v>
      </c>
      <c r="R39" s="15">
        <v>100</v>
      </c>
      <c r="W39" s="15" t="s">
        <v>3287</v>
      </c>
      <c r="X39" s="15">
        <f>110.35+107.59-8.62-14.01</f>
        <v>195.31</v>
      </c>
      <c r="AO39" s="76" t="s">
        <v>3288</v>
      </c>
      <c r="AP39" s="15">
        <v>99.81</v>
      </c>
      <c r="AU39" s="15" t="s">
        <v>3289</v>
      </c>
      <c r="AV39" s="15">
        <v>-134</v>
      </c>
      <c r="BE39" s="15" t="s">
        <v>3093</v>
      </c>
      <c r="BF39" s="15">
        <v>200</v>
      </c>
      <c r="BW39" s="42" t="s">
        <v>3290</v>
      </c>
      <c r="BX39" s="42">
        <v>100</v>
      </c>
      <c r="CC39" s="42" t="s">
        <v>3291</v>
      </c>
      <c r="CD39" s="42">
        <v>0</v>
      </c>
      <c r="CI39" s="42" t="s">
        <v>3292</v>
      </c>
      <c r="CJ39" s="42">
        <v>102</v>
      </c>
      <c r="CO39" s="42" t="s">
        <v>2988</v>
      </c>
      <c r="CP39" s="42">
        <v>60.08</v>
      </c>
      <c r="CU39" s="42" t="s">
        <v>3293</v>
      </c>
      <c r="CV39" s="42">
        <v>80</v>
      </c>
      <c r="DA39" s="42" t="s">
        <v>3294</v>
      </c>
      <c r="DB39" s="42">
        <v>106.3</v>
      </c>
      <c r="DC39" s="102"/>
      <c r="DG39" s="116" t="s">
        <v>3295</v>
      </c>
      <c r="DH39" s="55">
        <v>32.200000000000003</v>
      </c>
      <c r="DI39" s="639" t="s">
        <v>2865</v>
      </c>
      <c r="DJ39" s="639"/>
      <c r="DM39" s="120" t="s">
        <v>3099</v>
      </c>
      <c r="DN39" s="122"/>
      <c r="DO39" s="67" t="s">
        <v>2890</v>
      </c>
      <c r="DS39" s="120" t="s">
        <v>3296</v>
      </c>
      <c r="DT39" s="122"/>
      <c r="DU39" s="67" t="s">
        <v>2890</v>
      </c>
      <c r="DY39" s="15" t="s">
        <v>3294</v>
      </c>
      <c r="DZ39" s="15">
        <v>15</v>
      </c>
      <c r="EL39" s="22"/>
      <c r="EM39" s="22"/>
      <c r="EN39" s="102"/>
      <c r="ER39" s="59" t="s">
        <v>3297</v>
      </c>
      <c r="ES39" s="59">
        <v>69</v>
      </c>
      <c r="ET39" s="15" t="s">
        <v>2890</v>
      </c>
      <c r="EX39" s="59" t="s">
        <v>3298</v>
      </c>
      <c r="EY39" s="59">
        <v>37.869999999999997</v>
      </c>
      <c r="EZ39" s="15" t="s">
        <v>197</v>
      </c>
      <c r="FD39" s="59" t="s">
        <v>3108</v>
      </c>
      <c r="FE39" s="15" t="s">
        <v>3299</v>
      </c>
      <c r="FF39" s="59" t="s">
        <v>3300</v>
      </c>
      <c r="FG39" s="59">
        <v>250</v>
      </c>
      <c r="FJ39" s="168" t="s">
        <v>3301</v>
      </c>
      <c r="FK39" s="47">
        <v>11.25</v>
      </c>
      <c r="FL39" s="67" t="s">
        <v>3302</v>
      </c>
      <c r="FM39" s="95">
        <v>101</v>
      </c>
      <c r="FP39" s="150" t="s">
        <v>3303</v>
      </c>
      <c r="FQ39" s="150"/>
      <c r="FR39" s="15" t="s">
        <v>2747</v>
      </c>
      <c r="FV39" s="168" t="s">
        <v>3304</v>
      </c>
      <c r="FW39" s="59">
        <v>184</v>
      </c>
      <c r="FX39" s="15" t="s">
        <v>2890</v>
      </c>
      <c r="GB39" s="148" t="s">
        <v>3305</v>
      </c>
      <c r="GC39" s="150"/>
      <c r="GH39" s="168" t="s">
        <v>3306</v>
      </c>
      <c r="GI39" s="15">
        <v>70</v>
      </c>
      <c r="GJ39" s="15" t="s">
        <v>372</v>
      </c>
      <c r="GN39" s="145" t="s">
        <v>3307</v>
      </c>
      <c r="GO39" s="15">
        <v>26</v>
      </c>
      <c r="GP39" s="67" t="s">
        <v>3308</v>
      </c>
      <c r="GQ39" s="95">
        <v>45000</v>
      </c>
      <c r="GT39" s="174">
        <v>20</v>
      </c>
      <c r="GU39" s="148" t="s">
        <v>3309</v>
      </c>
      <c r="GZ39" s="145" t="s">
        <v>3310</v>
      </c>
      <c r="HA39" s="15">
        <v>84.3</v>
      </c>
      <c r="HB39" s="15" t="s">
        <v>2872</v>
      </c>
      <c r="HF39" s="180" t="s">
        <v>3311</v>
      </c>
      <c r="HG39" s="158">
        <v>88</v>
      </c>
      <c r="HH39" s="15" t="s">
        <v>2890</v>
      </c>
      <c r="HL39" s="180"/>
      <c r="HM39" s="158"/>
      <c r="HR39" s="180" t="s">
        <v>3312</v>
      </c>
      <c r="HS39" s="158">
        <v>10.57</v>
      </c>
      <c r="HT39" s="15" t="s">
        <v>197</v>
      </c>
      <c r="HX39" s="196">
        <v>40</v>
      </c>
      <c r="HY39" s="148" t="s">
        <v>3313</v>
      </c>
      <c r="HZ39" s="67" t="s">
        <v>2886</v>
      </c>
      <c r="IA39" s="95">
        <v>125.91</v>
      </c>
      <c r="ID39" s="170" t="s">
        <v>2778</v>
      </c>
      <c r="IE39" s="195">
        <f>IA28+IC42-IG23</f>
        <v>175</v>
      </c>
      <c r="IH39" s="191"/>
      <c r="IJ39" s="170" t="s">
        <v>2778</v>
      </c>
      <c r="IK39" s="195">
        <f>IG23+II50-IM23</f>
        <v>230</v>
      </c>
      <c r="IN39" s="145" t="s">
        <v>2818</v>
      </c>
      <c r="IO39" s="43">
        <f>SUM(IQ25:IQ32)</f>
        <v>303.81</v>
      </c>
      <c r="IP39" s="196">
        <v>7.9</v>
      </c>
      <c r="IQ39" s="237" t="s">
        <v>3314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3315</v>
      </c>
      <c r="JH39" s="196">
        <v>10</v>
      </c>
      <c r="JI39" s="237" t="s">
        <v>3316</v>
      </c>
      <c r="JM39" s="226"/>
      <c r="JN39" s="196">
        <v>10</v>
      </c>
      <c r="JO39" s="22" t="s">
        <v>3317</v>
      </c>
      <c r="JS39" s="258" t="s">
        <v>3318</v>
      </c>
      <c r="JT39" s="257" t="s">
        <v>3319</v>
      </c>
      <c r="JU39" s="269">
        <v>89.39</v>
      </c>
      <c r="JX39" s="45" t="s">
        <v>2432</v>
      </c>
      <c r="JY39" s="45"/>
      <c r="JZ39" s="145" t="s">
        <v>3320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3271</v>
      </c>
      <c r="KK39" s="43">
        <f>SUM(KM7:KM9)</f>
        <v>1201.5700000000002</v>
      </c>
      <c r="KL39" s="196">
        <v>40</v>
      </c>
      <c r="KM39" s="275" t="s">
        <v>2948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3321</v>
      </c>
      <c r="KY39" s="41">
        <f>1264.52+12.65</f>
        <v>1277.17</v>
      </c>
      <c r="KZ39" s="15" t="s">
        <v>3087</v>
      </c>
      <c r="LB39" s="153" t="s">
        <v>3271</v>
      </c>
      <c r="LC39" s="43">
        <f>SUM(LE14:LE18)</f>
        <v>825.89</v>
      </c>
      <c r="LD39" s="145" t="s">
        <v>3322</v>
      </c>
      <c r="LE39" s="99">
        <f>7.5*2+38.7</f>
        <v>53.7</v>
      </c>
      <c r="LF39" s="47" t="s">
        <v>3323</v>
      </c>
      <c r="LH39" s="150" t="s">
        <v>3324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3325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3326</v>
      </c>
      <c r="MF39" s="59"/>
      <c r="MH39" s="317" t="s">
        <v>3327</v>
      </c>
      <c r="MI39" s="41">
        <v>6.3</v>
      </c>
      <c r="ML39" s="285" t="s">
        <v>3016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2854</v>
      </c>
      <c r="MR39" s="317" t="s">
        <v>2723</v>
      </c>
      <c r="MS39" s="38">
        <f>SUM(MU21:MU33)</f>
        <v>710.96</v>
      </c>
      <c r="MT39" s="42" t="s">
        <v>3020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3328</v>
      </c>
      <c r="NY39" s="55">
        <f>6.5+7.7</f>
        <v>14.2</v>
      </c>
      <c r="OD39" s="170" t="s">
        <v>2778</v>
      </c>
      <c r="OE39" s="23">
        <f>OA23+OC40-OG21</f>
        <v>50</v>
      </c>
      <c r="OH39" s="317" t="s">
        <v>2723</v>
      </c>
      <c r="OI39" s="38">
        <f>SUM(OK22:OK31)</f>
        <v>2060.8799999999997</v>
      </c>
      <c r="OJ39" s="170" t="s">
        <v>2778</v>
      </c>
      <c r="OK39" s="53">
        <f>OG21+OI42-OM21</f>
        <v>20</v>
      </c>
      <c r="OL39" s="15" t="s">
        <v>3240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3331</v>
      </c>
      <c r="GC40" s="150"/>
      <c r="GH40" s="168" t="s">
        <v>3332</v>
      </c>
      <c r="GI40" s="59">
        <v>190</v>
      </c>
      <c r="GJ40" s="15" t="s">
        <v>2872</v>
      </c>
      <c r="GN40" s="145" t="s">
        <v>3333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3334</v>
      </c>
      <c r="GV40" s="15" t="s">
        <v>3039</v>
      </c>
      <c r="GZ40" s="145"/>
      <c r="HB40" s="15" t="s">
        <v>197</v>
      </c>
      <c r="HF40" s="180" t="s">
        <v>3335</v>
      </c>
      <c r="HG40" s="158">
        <v>9.2200000000000006</v>
      </c>
      <c r="HR40" s="180"/>
      <c r="HS40" s="158"/>
      <c r="HX40" s="196">
        <v>20</v>
      </c>
      <c r="HY40" s="148" t="s">
        <v>3336</v>
      </c>
      <c r="ID40" s="196">
        <v>70</v>
      </c>
      <c r="IE40" s="148" t="s">
        <v>2948</v>
      </c>
      <c r="IH40" s="633" t="s">
        <v>2349</v>
      </c>
      <c r="II40" s="633"/>
      <c r="IJ40" s="196">
        <v>20</v>
      </c>
      <c r="IK40" s="148" t="s">
        <v>3337</v>
      </c>
      <c r="IN40" s="148" t="s">
        <v>3338</v>
      </c>
      <c r="IO40" s="163">
        <f>100+400+100+100</f>
        <v>700</v>
      </c>
      <c r="IP40" s="196">
        <v>6</v>
      </c>
      <c r="IQ40" s="237" t="s">
        <v>2948</v>
      </c>
      <c r="IV40" s="181"/>
      <c r="IW40" s="99"/>
      <c r="JA40" s="226"/>
      <c r="JB40" s="196">
        <v>30</v>
      </c>
      <c r="JC40" s="237" t="s">
        <v>3339</v>
      </c>
      <c r="JH40" s="196">
        <v>12</v>
      </c>
      <c r="JI40" s="237" t="s">
        <v>3340</v>
      </c>
      <c r="JM40" s="226"/>
      <c r="JN40" s="196">
        <f>86*3+96</f>
        <v>354</v>
      </c>
      <c r="JO40" s="22" t="s">
        <v>3341</v>
      </c>
      <c r="JT40" s="259" t="s">
        <v>3342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3343</v>
      </c>
      <c r="KA40" s="99">
        <v>31</v>
      </c>
      <c r="KF40" s="283" t="s">
        <v>3344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3345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3346</v>
      </c>
      <c r="KY40" s="99">
        <v>31.96</v>
      </c>
      <c r="KZ40" s="15" t="s">
        <v>3274</v>
      </c>
      <c r="LB40" s="84" t="s">
        <v>3077</v>
      </c>
      <c r="LC40" s="233">
        <f>SUM(LE19:LE20)</f>
        <v>135.16</v>
      </c>
      <c r="LD40" s="145" t="s">
        <v>3347</v>
      </c>
      <c r="LE40" s="99">
        <v>32.5</v>
      </c>
      <c r="LJ40" s="170" t="s">
        <v>2778</v>
      </c>
      <c r="LK40" s="195">
        <f>LG23+LI39-LM23</f>
        <v>250</v>
      </c>
      <c r="LL40" s="15" t="s">
        <v>3087</v>
      </c>
      <c r="LN40" s="150" t="s">
        <v>3348</v>
      </c>
      <c r="LO40" s="309">
        <v>600</v>
      </c>
      <c r="LP40" s="170" t="s">
        <v>2778</v>
      </c>
      <c r="LQ40" s="195">
        <f>LM23+LO40-LS24</f>
        <v>710</v>
      </c>
      <c r="LT40" s="150" t="s">
        <v>3349</v>
      </c>
      <c r="LU40" s="309">
        <v>290</v>
      </c>
      <c r="LV40" s="196">
        <v>20</v>
      </c>
      <c r="LW40" s="275" t="s">
        <v>3350</v>
      </c>
      <c r="LZ40" s="317" t="s">
        <v>2849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2906</v>
      </c>
      <c r="MI40" s="41">
        <v>6.95</v>
      </c>
      <c r="MJ40" s="67" t="s">
        <v>2854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3280</v>
      </c>
      <c r="MR40" s="317" t="s">
        <v>2849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3351</v>
      </c>
      <c r="NA40" s="238">
        <v>11.9</v>
      </c>
      <c r="NQ40" s="54"/>
      <c r="NR40" s="63" t="s">
        <v>3352</v>
      </c>
      <c r="NS40" s="55">
        <f>13.36+8.96</f>
        <v>22.32</v>
      </c>
      <c r="NT40" s="15" t="s">
        <v>3240</v>
      </c>
      <c r="NV40" s="311"/>
      <c r="NW40" s="318"/>
      <c r="NX40" s="317" t="s">
        <v>3353</v>
      </c>
      <c r="NY40" s="55">
        <v>14.7</v>
      </c>
      <c r="OB40" s="150" t="s">
        <v>3329</v>
      </c>
      <c r="OC40" s="163">
        <v>200</v>
      </c>
      <c r="OD40" s="196">
        <v>15</v>
      </c>
      <c r="OE40" s="23" t="s">
        <v>3354</v>
      </c>
      <c r="OH40" s="317" t="s">
        <v>2849</v>
      </c>
      <c r="OI40" s="308">
        <f>SUM(OK27:OK31)</f>
        <v>120.46000000000001</v>
      </c>
      <c r="OJ40" s="196">
        <v>4</v>
      </c>
      <c r="OK40" s="53" t="s">
        <v>3285</v>
      </c>
    </row>
    <row r="41" spans="1:404">
      <c r="K41" s="579" t="s">
        <v>1481</v>
      </c>
      <c r="L41" s="15">
        <v>300.01</v>
      </c>
      <c r="W41" s="15" t="s">
        <v>3355</v>
      </c>
      <c r="X41" s="15">
        <v>159</v>
      </c>
      <c r="AO41" s="76" t="s">
        <v>3356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3357</v>
      </c>
      <c r="CD41" s="42">
        <v>320</v>
      </c>
      <c r="CI41" s="42" t="s">
        <v>3358</v>
      </c>
      <c r="CJ41" s="42">
        <v>50</v>
      </c>
      <c r="CO41" s="42" t="s">
        <v>3359</v>
      </c>
      <c r="CP41" s="42">
        <v>200</v>
      </c>
      <c r="CU41" s="42" t="s">
        <v>3358</v>
      </c>
      <c r="CV41" s="42">
        <v>100</v>
      </c>
      <c r="DA41" s="42" t="s">
        <v>3360</v>
      </c>
      <c r="DB41" s="42">
        <v>296.14</v>
      </c>
      <c r="DG41" s="116" t="s">
        <v>3361</v>
      </c>
      <c r="DH41" s="55">
        <v>40</v>
      </c>
      <c r="DI41" s="109" t="s">
        <v>3362</v>
      </c>
      <c r="DJ41" s="109">
        <v>200</v>
      </c>
      <c r="DM41" s="120" t="s">
        <v>3363</v>
      </c>
      <c r="DN41" s="122"/>
      <c r="DS41" s="120" t="s">
        <v>3364</v>
      </c>
      <c r="DT41" s="122"/>
      <c r="EL41" s="15" t="s">
        <v>3365</v>
      </c>
      <c r="EM41" s="15">
        <v>59.7</v>
      </c>
      <c r="ER41" s="47" t="s">
        <v>3366</v>
      </c>
      <c r="ES41" s="47">
        <v>18</v>
      </c>
      <c r="EX41" s="59" t="s">
        <v>3367</v>
      </c>
      <c r="EY41" s="59">
        <v>761</v>
      </c>
      <c r="EZ41" s="15" t="s">
        <v>2747</v>
      </c>
      <c r="FD41" s="59"/>
      <c r="FE41" s="59"/>
      <c r="FF41" s="59"/>
      <c r="FG41" s="59"/>
      <c r="FJ41" s="59"/>
      <c r="FK41" s="59"/>
      <c r="FL41" s="67"/>
      <c r="FM41" s="95"/>
      <c r="FP41" s="148" t="s">
        <v>3368</v>
      </c>
      <c r="FQ41" s="150"/>
      <c r="FR41" s="15" t="s">
        <v>2890</v>
      </c>
      <c r="FV41" s="168" t="s">
        <v>3369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3371</v>
      </c>
      <c r="JO41" s="99">
        <v>7.5</v>
      </c>
      <c r="JT41" s="257" t="s">
        <v>3372</v>
      </c>
      <c r="JU41" s="269">
        <v>18.8</v>
      </c>
      <c r="JX41" s="169" t="s">
        <v>2831</v>
      </c>
      <c r="JY41" s="89">
        <f>SUM(KA21:KA24)</f>
        <v>6114.74</v>
      </c>
      <c r="JZ41" s="145" t="s">
        <v>3373</v>
      </c>
      <c r="KA41" s="99">
        <v>13.15</v>
      </c>
      <c r="KE41" s="47"/>
      <c r="KF41" s="283" t="s">
        <v>3374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3375</v>
      </c>
      <c r="KN41" s="628" t="s">
        <v>3323</v>
      </c>
      <c r="KO41" s="628"/>
      <c r="KP41" s="145" t="s">
        <v>2723</v>
      </c>
      <c r="KQ41" s="43">
        <f>SUM(KS28:KS37)</f>
        <v>732.65</v>
      </c>
      <c r="KR41" s="170" t="s">
        <v>2778</v>
      </c>
      <c r="KS41" s="195">
        <f>KO28+KQ44-KU26</f>
        <v>110</v>
      </c>
      <c r="KT41" s="15" t="s">
        <v>3087</v>
      </c>
      <c r="KX41" s="145" t="s">
        <v>3376</v>
      </c>
      <c r="KY41" s="41">
        <f>21.3+22.3</f>
        <v>43.6</v>
      </c>
      <c r="KZ41" s="47" t="s">
        <v>3323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3377</v>
      </c>
      <c r="LL41" s="15" t="s">
        <v>3274</v>
      </c>
      <c r="LP41" s="196">
        <v>600</v>
      </c>
      <c r="LQ41" s="195" t="s">
        <v>3378</v>
      </c>
      <c r="LV41" s="196">
        <v>7</v>
      </c>
      <c r="LW41" s="275" t="s">
        <v>3379</v>
      </c>
      <c r="MB41" s="196">
        <v>5</v>
      </c>
      <c r="MC41" s="275" t="s">
        <v>3380</v>
      </c>
      <c r="MF41" s="45" t="s">
        <v>2432</v>
      </c>
      <c r="MG41" s="305"/>
      <c r="MH41" s="65" t="s">
        <v>2554</v>
      </c>
      <c r="MI41" s="55">
        <f>749.38+250.7</f>
        <v>1000.0799999999999</v>
      </c>
      <c r="MJ41" s="67" t="s">
        <v>3280</v>
      </c>
      <c r="ML41" s="317" t="s">
        <v>2723</v>
      </c>
      <c r="MM41" s="38">
        <f>SUM(MO20:MO35)</f>
        <v>664.76999999999987</v>
      </c>
      <c r="MN41" s="170" t="s">
        <v>2778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3277</v>
      </c>
      <c r="NA41" s="59"/>
      <c r="NQ41" s="54"/>
      <c r="NR41" s="15" t="s">
        <v>3381</v>
      </c>
      <c r="NS41" s="59">
        <f>6.16+4.9</f>
        <v>11.06</v>
      </c>
      <c r="NX41" s="317" t="s">
        <v>3382</v>
      </c>
      <c r="NY41" s="55">
        <v>57.19</v>
      </c>
      <c r="OB41" s="158"/>
      <c r="OC41" s="54"/>
      <c r="OD41" s="196">
        <v>30</v>
      </c>
      <c r="OE41" s="324" t="s">
        <v>3383</v>
      </c>
      <c r="OJ41" s="196">
        <v>10</v>
      </c>
      <c r="OK41" s="343" t="s">
        <v>3330</v>
      </c>
      <c r="ON41" s="41">
        <v>60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3384</v>
      </c>
      <c r="GC42" s="15">
        <v>80</v>
      </c>
      <c r="GH42" s="168" t="s">
        <v>3385</v>
      </c>
      <c r="GI42" s="59">
        <v>1100</v>
      </c>
      <c r="GJ42" s="15" t="s">
        <v>197</v>
      </c>
      <c r="GN42" s="145" t="s">
        <v>3386</v>
      </c>
      <c r="GO42" s="15">
        <f>76+25.2</f>
        <v>101.2</v>
      </c>
      <c r="GP42" s="67" t="s">
        <v>3387</v>
      </c>
      <c r="GQ42" s="95"/>
      <c r="GT42" s="174">
        <v>6</v>
      </c>
      <c r="GU42" s="148" t="s">
        <v>3388</v>
      </c>
      <c r="GV42" s="102"/>
      <c r="GZ42" s="170"/>
      <c r="HA42" s="22"/>
      <c r="HB42" s="15" t="s">
        <v>2747</v>
      </c>
      <c r="HF42" s="176" t="s">
        <v>3389</v>
      </c>
      <c r="HG42" s="176">
        <v>440</v>
      </c>
      <c r="HR42" s="180"/>
      <c r="HS42" s="158"/>
      <c r="HX42" s="196">
        <v>45</v>
      </c>
      <c r="HY42" s="148" t="s">
        <v>3390</v>
      </c>
      <c r="IB42" s="148" t="s">
        <v>3391</v>
      </c>
      <c r="IC42" s="163">
        <v>205</v>
      </c>
      <c r="ID42" s="196">
        <v>15</v>
      </c>
      <c r="IE42" s="148" t="s">
        <v>3392</v>
      </c>
      <c r="IH42" s="161" t="s">
        <v>1226</v>
      </c>
      <c r="II42" s="89">
        <f>SUM(IK7:IK9)</f>
        <v>1946.12</v>
      </c>
      <c r="IJ42" s="196">
        <v>40</v>
      </c>
      <c r="IK42" s="148" t="s">
        <v>3393</v>
      </c>
      <c r="IP42" s="196">
        <v>30</v>
      </c>
      <c r="IQ42" s="237" t="s">
        <v>3394</v>
      </c>
      <c r="IV42" s="181"/>
      <c r="IW42" s="99"/>
      <c r="JA42" s="228"/>
      <c r="JB42" s="196">
        <v>30</v>
      </c>
      <c r="JC42" s="237" t="s">
        <v>3395</v>
      </c>
      <c r="JG42" s="226"/>
      <c r="JH42" s="67" t="s">
        <v>3396</v>
      </c>
      <c r="JI42" s="99">
        <v>751</v>
      </c>
      <c r="JM42" s="228"/>
      <c r="JN42" s="181" t="s">
        <v>3294</v>
      </c>
      <c r="JO42" s="99">
        <v>15.79</v>
      </c>
      <c r="JT42" s="257" t="s">
        <v>3397</v>
      </c>
      <c r="JU42" s="269">
        <v>89.8</v>
      </c>
      <c r="JX42" s="152" t="s">
        <v>1277</v>
      </c>
      <c r="JY42" s="43">
        <f>KA11</f>
        <v>5.99</v>
      </c>
      <c r="JZ42" s="145" t="s">
        <v>3398</v>
      </c>
      <c r="KA42" s="99">
        <v>38.200000000000003</v>
      </c>
      <c r="KE42" s="47"/>
      <c r="KF42" s="283" t="s">
        <v>3399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3400</v>
      </c>
      <c r="KP42" s="145" t="s">
        <v>2849</v>
      </c>
      <c r="KQ42" s="255">
        <f>SUM(KS30:KS37)</f>
        <v>271.73</v>
      </c>
      <c r="KR42" s="196">
        <v>45</v>
      </c>
      <c r="KS42" s="275" t="s">
        <v>2948</v>
      </c>
      <c r="KT42" s="15" t="s">
        <v>3274</v>
      </c>
      <c r="KV42" s="45" t="s">
        <v>2432</v>
      </c>
      <c r="KW42" s="45"/>
      <c r="KX42" s="145" t="s">
        <v>3401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3240</v>
      </c>
      <c r="LI42" s="47"/>
      <c r="LJ42" s="196">
        <v>10</v>
      </c>
      <c r="LK42" s="237" t="s">
        <v>3402</v>
      </c>
      <c r="LL42" s="47" t="s">
        <v>3323</v>
      </c>
      <c r="LO42" s="54"/>
      <c r="LP42" s="196">
        <v>40</v>
      </c>
      <c r="LQ42" s="275" t="s">
        <v>3403</v>
      </c>
      <c r="LU42" s="54"/>
      <c r="LV42" s="196">
        <v>20</v>
      </c>
      <c r="LW42" s="275" t="s">
        <v>3404</v>
      </c>
      <c r="LZ42" s="150" t="s">
        <v>3405</v>
      </c>
      <c r="MA42" s="309">
        <v>200</v>
      </c>
      <c r="MB42" s="196">
        <v>20</v>
      </c>
      <c r="MC42" s="275" t="s">
        <v>3406</v>
      </c>
      <c r="MF42" s="319" t="s">
        <v>1226</v>
      </c>
      <c r="MG42" s="55">
        <f>SUM(MI6:MI10)</f>
        <v>7300.16</v>
      </c>
      <c r="MH42" s="65" t="s">
        <v>3407</v>
      </c>
      <c r="MI42" s="55">
        <v>14.9</v>
      </c>
      <c r="MJ42" s="15" t="s">
        <v>372</v>
      </c>
      <c r="ML42" s="317" t="s">
        <v>2849</v>
      </c>
      <c r="MM42" s="308">
        <f>SUM(MO24:MO35)</f>
        <v>409.42999999999995</v>
      </c>
      <c r="MN42" s="196">
        <v>40</v>
      </c>
      <c r="MO42" s="23" t="s">
        <v>3276</v>
      </c>
      <c r="MR42" s="150" t="s">
        <v>3408</v>
      </c>
      <c r="MS42" s="196">
        <v>50</v>
      </c>
      <c r="MT42" s="170" t="s">
        <v>2778</v>
      </c>
      <c r="MU42" s="23">
        <f>MQ28+MS42-MW28</f>
        <v>60</v>
      </c>
      <c r="NR42" s="15" t="s">
        <v>3409</v>
      </c>
      <c r="NS42" s="59">
        <v>19.2</v>
      </c>
      <c r="NX42" s="317" t="s">
        <v>3410</v>
      </c>
      <c r="NY42" s="55">
        <v>35</v>
      </c>
      <c r="OD42" s="63" t="s">
        <v>3411</v>
      </c>
      <c r="OE42" s="55">
        <v>180</v>
      </c>
      <c r="OH42" s="150" t="s">
        <v>3329</v>
      </c>
      <c r="OI42" s="163">
        <v>0</v>
      </c>
      <c r="OJ42" s="196"/>
      <c r="OK42" s="53"/>
      <c r="ON42" s="15">
        <v>23.52</v>
      </c>
    </row>
    <row r="43" spans="1:404">
      <c r="K43" s="569" t="s">
        <v>2971</v>
      </c>
      <c r="L43" s="15">
        <v>100</v>
      </c>
      <c r="AO43" s="76" t="s">
        <v>3413</v>
      </c>
      <c r="AP43" s="15">
        <v>54</v>
      </c>
      <c r="AU43" s="15" t="s">
        <v>3414</v>
      </c>
      <c r="AV43" s="15">
        <v>180</v>
      </c>
      <c r="BE43" s="15" t="s">
        <v>3204</v>
      </c>
      <c r="BF43" s="15">
        <v>300</v>
      </c>
      <c r="BW43" s="42" t="s">
        <v>3204</v>
      </c>
      <c r="BX43" s="42">
        <v>150</v>
      </c>
      <c r="CC43" s="42" t="s">
        <v>3149</v>
      </c>
      <c r="CD43" s="42">
        <v>500</v>
      </c>
      <c r="CI43" s="42" t="s">
        <v>3415</v>
      </c>
      <c r="CJ43" s="42">
        <v>0</v>
      </c>
      <c r="CO43" s="42" t="s">
        <v>3149</v>
      </c>
      <c r="CP43" s="42">
        <v>500</v>
      </c>
      <c r="CU43" s="42" t="s">
        <v>3416</v>
      </c>
      <c r="CV43" s="42">
        <v>30</v>
      </c>
      <c r="DA43" s="42" t="s">
        <v>3417</v>
      </c>
      <c r="DB43" s="42">
        <v>127.5</v>
      </c>
      <c r="DG43" s="116" t="s">
        <v>3418</v>
      </c>
      <c r="DH43" s="55">
        <v>65.319999999999993</v>
      </c>
      <c r="DI43" s="109" t="s">
        <v>3419</v>
      </c>
      <c r="DJ43" s="586" t="s">
        <v>3420</v>
      </c>
      <c r="DM43" s="120" t="s">
        <v>3421</v>
      </c>
      <c r="DN43" s="122"/>
      <c r="DP43" s="15"/>
      <c r="DS43" s="120" t="s">
        <v>3422</v>
      </c>
      <c r="DT43" s="122"/>
      <c r="DY43" s="15" t="s">
        <v>3160</v>
      </c>
      <c r="DZ43" s="15">
        <v>734.46</v>
      </c>
      <c r="EL43" s="59" t="s">
        <v>2613</v>
      </c>
      <c r="EM43" s="47">
        <v>29.9</v>
      </c>
      <c r="ER43" s="59" t="s">
        <v>3423</v>
      </c>
      <c r="ES43" s="15">
        <f>11.88+1.49+3.62</f>
        <v>16.990000000000002</v>
      </c>
      <c r="EX43" s="59" t="s">
        <v>3424</v>
      </c>
      <c r="EY43" s="59">
        <f>560-555.22</f>
        <v>4.7799999999999727</v>
      </c>
      <c r="EZ43" s="15" t="s">
        <v>2890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3427</v>
      </c>
      <c r="KA43" s="99">
        <v>10.5</v>
      </c>
      <c r="KE43" s="47" t="s">
        <v>3318</v>
      </c>
      <c r="KF43" s="286" t="s">
        <v>3428</v>
      </c>
      <c r="KG43" s="15">
        <v>98.58</v>
      </c>
      <c r="KJ43" s="145" t="s">
        <v>2849</v>
      </c>
      <c r="KK43" s="255">
        <f>SUM(KM28:KM34)</f>
        <v>362.27</v>
      </c>
      <c r="KL43" s="196">
        <v>100</v>
      </c>
      <c r="KM43" s="237" t="s">
        <v>3276</v>
      </c>
      <c r="KN43" s="15" t="s">
        <v>3200</v>
      </c>
      <c r="KR43" s="196">
        <v>12.4</v>
      </c>
      <c r="KS43" s="237" t="s">
        <v>3429</v>
      </c>
      <c r="KT43" s="47" t="s">
        <v>3323</v>
      </c>
      <c r="KV43" s="176" t="s">
        <v>1226</v>
      </c>
      <c r="KW43" s="89">
        <f>SUM(KY7:KY8)</f>
        <v>1950.12</v>
      </c>
      <c r="KX43" s="145" t="s">
        <v>3430</v>
      </c>
      <c r="KY43" s="41">
        <f>26.4+39.9</f>
        <v>66.3</v>
      </c>
      <c r="KZ43" s="15" t="s">
        <v>3200</v>
      </c>
      <c r="LB43" s="145" t="s">
        <v>2849</v>
      </c>
      <c r="LC43" s="255">
        <f>SUM(LE35:LE40)</f>
        <v>235.89</v>
      </c>
      <c r="LD43" s="170" t="s">
        <v>2778</v>
      </c>
      <c r="LE43" s="195">
        <f>LA25+LC45-LG23</f>
        <v>130</v>
      </c>
      <c r="LJ43" s="196">
        <v>30</v>
      </c>
      <c r="LK43" s="237" t="s">
        <v>3431</v>
      </c>
      <c r="LO43" s="54"/>
      <c r="LP43" s="196">
        <v>10</v>
      </c>
      <c r="LQ43" s="275" t="s">
        <v>3432</v>
      </c>
      <c r="LR43" s="47"/>
      <c r="LU43" s="54"/>
      <c r="LV43" s="196">
        <v>50</v>
      </c>
      <c r="LW43" s="275" t="s">
        <v>3433</v>
      </c>
      <c r="LX43" s="47"/>
      <c r="MB43" s="196">
        <v>10</v>
      </c>
      <c r="MC43" s="275" t="s">
        <v>3434</v>
      </c>
      <c r="MF43" s="153" t="s">
        <v>2557</v>
      </c>
      <c r="MG43" s="55">
        <f>SUM(MI12:MI13)</f>
        <v>329.53999999999996</v>
      </c>
      <c r="MH43" s="113" t="s">
        <v>3435</v>
      </c>
      <c r="MI43" s="55">
        <v>118.59</v>
      </c>
      <c r="MN43" s="196">
        <v>28.7</v>
      </c>
      <c r="MO43" s="275" t="s">
        <v>3436</v>
      </c>
      <c r="MP43" s="15" t="s">
        <v>3277</v>
      </c>
      <c r="MT43" s="196">
        <v>20</v>
      </c>
      <c r="MU43" s="275" t="s">
        <v>3437</v>
      </c>
      <c r="MV43" s="15" t="s">
        <v>3200</v>
      </c>
      <c r="NX43" s="317" t="s">
        <v>3438</v>
      </c>
      <c r="NY43" s="55">
        <f>16.9+8.6</f>
        <v>25.5</v>
      </c>
      <c r="OD43" s="15" t="s">
        <v>3352</v>
      </c>
      <c r="OE43" s="59">
        <v>1.3</v>
      </c>
      <c r="OH43" s="158"/>
      <c r="OI43" s="54"/>
      <c r="OJ43" s="196"/>
      <c r="OK43" s="343"/>
      <c r="ON43" s="15"/>
    </row>
    <row r="44" spans="1:404">
      <c r="W44" s="579" t="s">
        <v>1481</v>
      </c>
      <c r="X44" s="15">
        <v>600</v>
      </c>
      <c r="AO44" s="76" t="s">
        <v>3440</v>
      </c>
      <c r="AP44" s="15">
        <v>95</v>
      </c>
      <c r="AU44" s="15" t="s">
        <v>3441</v>
      </c>
      <c r="AV44" s="15">
        <v>-180</v>
      </c>
      <c r="CC44" s="42" t="s">
        <v>3204</v>
      </c>
      <c r="CD44" s="42">
        <v>150</v>
      </c>
      <c r="CI44" s="42" t="s">
        <v>3442</v>
      </c>
      <c r="CJ44" s="42">
        <v>300</v>
      </c>
      <c r="CO44" s="42" t="s">
        <v>3204</v>
      </c>
      <c r="CP44" s="42">
        <v>400</v>
      </c>
      <c r="CU44" s="42" t="s">
        <v>3149</v>
      </c>
      <c r="CV44" s="42">
        <v>500</v>
      </c>
      <c r="DA44" s="42" t="s">
        <v>3443</v>
      </c>
      <c r="DB44" s="42">
        <v>114.55</v>
      </c>
      <c r="DG44" s="116" t="s">
        <v>3444</v>
      </c>
      <c r="DH44" s="55">
        <v>95</v>
      </c>
      <c r="DI44" s="109" t="s">
        <v>3445</v>
      </c>
      <c r="DJ44" s="586" t="s">
        <v>3420</v>
      </c>
      <c r="DL44" s="59"/>
      <c r="DM44" s="120" t="s">
        <v>3446</v>
      </c>
      <c r="DN44" s="122"/>
      <c r="DO44" s="47"/>
      <c r="DP44" s="131">
        <f>-DP10</f>
        <v>2524</v>
      </c>
      <c r="DR44" s="59"/>
      <c r="DS44" s="120" t="s">
        <v>3447</v>
      </c>
      <c r="DT44" s="122"/>
      <c r="DY44" s="15" t="s">
        <v>3448</v>
      </c>
      <c r="EA44" s="15" t="s">
        <v>3449</v>
      </c>
      <c r="EL44" s="59" t="s">
        <v>3450</v>
      </c>
      <c r="EM44" s="59">
        <v>35.799999999999997</v>
      </c>
      <c r="ER44" s="59" t="s">
        <v>3451</v>
      </c>
      <c r="ES44" s="15">
        <v>69.7</v>
      </c>
      <c r="EX44" s="59" t="s">
        <v>3452</v>
      </c>
      <c r="EY44" s="59">
        <v>8.64</v>
      </c>
      <c r="FD44" s="15" t="s">
        <v>3453</v>
      </c>
      <c r="FE44" s="59"/>
      <c r="FF44" s="15" t="s">
        <v>2872</v>
      </c>
      <c r="FJ44" s="15" t="s">
        <v>3454</v>
      </c>
      <c r="FK44" s="59"/>
      <c r="FL44" s="59"/>
      <c r="FP44" s="148" t="s">
        <v>3455</v>
      </c>
      <c r="FQ44" s="150"/>
      <c r="GB44" s="168" t="s">
        <v>3456</v>
      </c>
      <c r="GC44" s="59">
        <v>11</v>
      </c>
      <c r="GH44" s="168" t="s">
        <v>3457</v>
      </c>
      <c r="GI44" s="59">
        <v>43</v>
      </c>
      <c r="GJ44" s="15" t="s">
        <v>2747</v>
      </c>
      <c r="GN44" s="170" t="s">
        <v>2642</v>
      </c>
      <c r="GO44" s="22"/>
      <c r="GP44" s="15" t="s">
        <v>2872</v>
      </c>
      <c r="GT44" s="174">
        <v>30</v>
      </c>
      <c r="GU44" s="148" t="s">
        <v>3458</v>
      </c>
      <c r="GZ44" s="150" t="s">
        <v>3459</v>
      </c>
      <c r="HA44" s="164">
        <f>GW16+GZ43-HC17</f>
        <v>134</v>
      </c>
      <c r="HB44" s="15" t="s">
        <v>2890</v>
      </c>
      <c r="HE44" s="147"/>
      <c r="HF44" s="183">
        <v>29.54</v>
      </c>
      <c r="HX44" s="180" t="s">
        <v>3460</v>
      </c>
      <c r="HY44" s="158">
        <v>98.89</v>
      </c>
      <c r="HZ44" s="15" t="s">
        <v>372</v>
      </c>
      <c r="ID44" s="196">
        <v>10</v>
      </c>
      <c r="IE44" s="148" t="s">
        <v>3461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3462</v>
      </c>
      <c r="IP44" s="196">
        <v>20</v>
      </c>
      <c r="IQ44" s="237" t="s">
        <v>3463</v>
      </c>
      <c r="IV44" s="181"/>
      <c r="IW44" s="99"/>
      <c r="JB44" s="196">
        <v>13</v>
      </c>
      <c r="JC44" s="237" t="s">
        <v>3464</v>
      </c>
      <c r="JG44" s="226"/>
      <c r="JH44" s="67" t="s">
        <v>1837</v>
      </c>
      <c r="JI44" s="99">
        <v>12.34</v>
      </c>
      <c r="JN44" s="67" t="s">
        <v>3465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3466</v>
      </c>
      <c r="KA44" s="41">
        <f>47.8+1.2+2.5+3.2</f>
        <v>54.7</v>
      </c>
      <c r="KE44" s="47"/>
      <c r="KL44" s="196">
        <v>9</v>
      </c>
      <c r="KM44" s="237" t="s">
        <v>3467</v>
      </c>
      <c r="KN44" s="15" t="s">
        <v>3240</v>
      </c>
      <c r="KP44" s="150" t="s">
        <v>3468</v>
      </c>
      <c r="KQ44" s="281">
        <v>100</v>
      </c>
      <c r="KR44" s="196">
        <v>10</v>
      </c>
      <c r="KS44" s="237" t="s">
        <v>3469</v>
      </c>
      <c r="KV44" s="169" t="s">
        <v>2896</v>
      </c>
      <c r="KW44" s="89">
        <f>SUM(KY24:KY26)</f>
        <v>1515.0900000000001</v>
      </c>
      <c r="KX44" s="145" t="s">
        <v>3470</v>
      </c>
      <c r="KY44" s="41">
        <v>6</v>
      </c>
      <c r="KZ44" s="15" t="s">
        <v>3240</v>
      </c>
      <c r="LD44" s="196">
        <v>22.2</v>
      </c>
      <c r="LE44" s="275" t="s">
        <v>3471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1481</v>
      </c>
      <c r="LV44" s="196">
        <v>20</v>
      </c>
      <c r="LW44" s="275" t="s">
        <v>3472</v>
      </c>
      <c r="MA44" s="54"/>
      <c r="MB44" s="196">
        <v>10</v>
      </c>
      <c r="MC44" s="275" t="s">
        <v>3473</v>
      </c>
      <c r="MF44" s="42" t="s">
        <v>3474</v>
      </c>
      <c r="MG44" s="41">
        <f>SUM(MI11:MI11)</f>
        <v>1526</v>
      </c>
      <c r="MH44" s="113" t="s">
        <v>3435</v>
      </c>
      <c r="MI44" s="55">
        <v>34.200000000000003</v>
      </c>
      <c r="MJ44" s="15" t="s">
        <v>3277</v>
      </c>
      <c r="ML44" s="150" t="s">
        <v>3475</v>
      </c>
      <c r="MM44" s="309">
        <v>150</v>
      </c>
      <c r="MN44" s="196">
        <v>8</v>
      </c>
      <c r="MO44" s="275" t="s">
        <v>3476</v>
      </c>
      <c r="MS44" s="54"/>
      <c r="MT44" s="63" t="s">
        <v>3477</v>
      </c>
      <c r="MU44" s="241">
        <v>399</v>
      </c>
      <c r="MV44" s="15" t="s">
        <v>3240</v>
      </c>
      <c r="NX44" s="56" t="s">
        <v>3478</v>
      </c>
      <c r="NY44" s="41">
        <v>21.58</v>
      </c>
      <c r="OD44" s="15" t="s">
        <v>3479</v>
      </c>
      <c r="OE44" s="15">
        <v>2.4</v>
      </c>
      <c r="OJ44" s="63" t="s">
        <v>3412</v>
      </c>
      <c r="OK44" s="55">
        <v>5.8</v>
      </c>
      <c r="ON44" s="15"/>
    </row>
    <row r="45" spans="1:404">
      <c r="W45" s="569" t="s">
        <v>2971</v>
      </c>
      <c r="X45" s="15">
        <v>100</v>
      </c>
      <c r="AU45" s="15" t="s">
        <v>3481</v>
      </c>
      <c r="AV45" s="15">
        <f>53+76.3</f>
        <v>129.30000000000001</v>
      </c>
      <c r="CI45" s="42" t="s">
        <v>3149</v>
      </c>
      <c r="CJ45" s="42">
        <v>400</v>
      </c>
      <c r="CO45" s="42" t="s">
        <v>3482</v>
      </c>
      <c r="CU45" s="42" t="s">
        <v>3204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3483</v>
      </c>
      <c r="DN45" s="55">
        <v>22.9</v>
      </c>
      <c r="DO45" s="47"/>
      <c r="DP45" s="131">
        <v>34.799999999999997</v>
      </c>
      <c r="DR45" s="59"/>
      <c r="DS45" s="120" t="s">
        <v>3484</v>
      </c>
      <c r="DT45" s="122"/>
      <c r="DU45" s="102"/>
      <c r="DY45" s="15" t="s">
        <v>3249</v>
      </c>
      <c r="DZ45" s="15">
        <v>70</v>
      </c>
      <c r="EL45" s="15" t="s">
        <v>3485</v>
      </c>
      <c r="EM45" s="15">
        <v>19.899999999999999</v>
      </c>
      <c r="ET45" s="102"/>
      <c r="EX45" s="59" t="s">
        <v>3486</v>
      </c>
      <c r="EY45" s="59">
        <f>7.3+13+10.5+10.8</f>
        <v>41.6</v>
      </c>
      <c r="FD45" s="15" t="s">
        <v>3249</v>
      </c>
      <c r="FE45" s="15">
        <v>30</v>
      </c>
      <c r="FF45" s="15" t="s">
        <v>2870</v>
      </c>
      <c r="FJ45" s="15" t="s">
        <v>3249</v>
      </c>
      <c r="FK45" s="15">
        <v>80</v>
      </c>
      <c r="FL45" s="59"/>
      <c r="FP45" s="59" t="s">
        <v>3487</v>
      </c>
      <c r="FQ45" s="15">
        <v>24</v>
      </c>
      <c r="FV45" s="15" t="s">
        <v>3160</v>
      </c>
      <c r="FW45" s="47">
        <v>646</v>
      </c>
      <c r="FX45" s="102"/>
      <c r="GB45" s="168" t="s">
        <v>3488</v>
      </c>
      <c r="GC45" s="59">
        <v>20</v>
      </c>
      <c r="GD45" s="102"/>
      <c r="GH45" s="168" t="s">
        <v>2239</v>
      </c>
      <c r="GI45" s="59">
        <v>64.680000000000007</v>
      </c>
      <c r="GJ45" s="15" t="s">
        <v>2890</v>
      </c>
      <c r="GN45" s="163">
        <v>100</v>
      </c>
      <c r="GO45" s="170"/>
      <c r="GP45" s="15" t="s">
        <v>197</v>
      </c>
      <c r="GT45" s="168" t="s">
        <v>3489</v>
      </c>
      <c r="GU45" s="59">
        <v>70</v>
      </c>
      <c r="GZ45" s="173">
        <v>60</v>
      </c>
      <c r="HA45" s="148" t="s">
        <v>2713</v>
      </c>
      <c r="HF45" s="15" t="s">
        <v>3490</v>
      </c>
      <c r="HG45" s="59">
        <v>90</v>
      </c>
      <c r="HX45" s="208" t="s">
        <v>3491</v>
      </c>
      <c r="HY45" s="208"/>
      <c r="HZ45" s="15" t="s">
        <v>197</v>
      </c>
      <c r="ID45" s="196">
        <f>20+9</f>
        <v>29</v>
      </c>
      <c r="IE45" s="148" t="s">
        <v>3492</v>
      </c>
      <c r="IH45" s="167" t="s">
        <v>1277</v>
      </c>
      <c r="II45" s="43">
        <f>SUM(IK10:IK11)</f>
        <v>3467.75</v>
      </c>
      <c r="IJ45" s="196">
        <v>20</v>
      </c>
      <c r="IK45" s="148" t="s">
        <v>3493</v>
      </c>
      <c r="IO45" s="226"/>
      <c r="IP45" s="196">
        <v>12</v>
      </c>
      <c r="IQ45" s="237" t="s">
        <v>3494</v>
      </c>
      <c r="IV45" s="188"/>
      <c r="IW45" s="238"/>
      <c r="JB45" s="236" t="s">
        <v>3495</v>
      </c>
      <c r="JC45" s="241">
        <v>18</v>
      </c>
      <c r="JG45" s="228"/>
      <c r="JH45" s="181" t="s">
        <v>3496</v>
      </c>
      <c r="JI45" s="99">
        <v>65</v>
      </c>
      <c r="JN45" s="15" t="s">
        <v>3497</v>
      </c>
      <c r="JO45" s="99">
        <v>120.36</v>
      </c>
      <c r="JT45" s="261" t="s">
        <v>3498</v>
      </c>
      <c r="JU45" s="271">
        <v>27.83</v>
      </c>
      <c r="JX45" s="145" t="s">
        <v>2723</v>
      </c>
      <c r="JY45" s="43">
        <f>SUM(KA34:KA45)</f>
        <v>681.71</v>
      </c>
      <c r="JZ45" s="145" t="s">
        <v>3499</v>
      </c>
      <c r="KA45" s="99">
        <v>26.5</v>
      </c>
      <c r="KE45" s="47"/>
      <c r="KJ45" s="150" t="s">
        <v>3500</v>
      </c>
      <c r="KK45" s="281">
        <v>250</v>
      </c>
      <c r="KL45" s="196">
        <v>10</v>
      </c>
      <c r="KM45" s="237" t="s">
        <v>3501</v>
      </c>
      <c r="KR45" s="196">
        <f>10+10+5+5</f>
        <v>30</v>
      </c>
      <c r="KS45" s="237" t="s">
        <v>3502</v>
      </c>
      <c r="KT45" s="15" t="s">
        <v>3200</v>
      </c>
      <c r="KV45" s="284" t="s">
        <v>2612</v>
      </c>
      <c r="KW45" s="43">
        <v>0</v>
      </c>
      <c r="KX45" s="145" t="s">
        <v>3503</v>
      </c>
      <c r="KY45" s="41">
        <v>7.9</v>
      </c>
      <c r="LB45" s="150" t="s">
        <v>3504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3505</v>
      </c>
      <c r="LL45" s="15" t="s">
        <v>3240</v>
      </c>
      <c r="LP45" s="63" t="s">
        <v>3506</v>
      </c>
      <c r="LQ45" s="241">
        <f>212.55-160-14.41</f>
        <v>38.140000000000015</v>
      </c>
      <c r="LV45" s="196">
        <v>10</v>
      </c>
      <c r="LW45" s="275" t="s">
        <v>3507</v>
      </c>
      <c r="MA45" s="54"/>
      <c r="MB45" s="196">
        <v>10</v>
      </c>
      <c r="MC45" s="275" t="s">
        <v>3508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3509</v>
      </c>
      <c r="MU45" s="59">
        <v>59</v>
      </c>
      <c r="NV45" s="45" t="s">
        <v>2432</v>
      </c>
      <c r="NW45" s="305"/>
      <c r="NX45" s="56" t="s">
        <v>3510</v>
      </c>
      <c r="NY45" s="41">
        <v>266.06</v>
      </c>
      <c r="OD45" s="15" t="s">
        <v>3511</v>
      </c>
      <c r="OE45" s="59">
        <v>34.9</v>
      </c>
      <c r="OJ45" s="15" t="s">
        <v>3439</v>
      </c>
      <c r="OK45" s="55">
        <v>84.8</v>
      </c>
      <c r="ON45" s="15"/>
    </row>
    <row r="46" spans="1:404">
      <c r="AO46" s="15" t="s">
        <v>3513</v>
      </c>
      <c r="AP46" s="15">
        <f>129-18</f>
        <v>111</v>
      </c>
      <c r="AU46" s="15" t="s">
        <v>3514</v>
      </c>
      <c r="AV46" s="15">
        <v>25</v>
      </c>
      <c r="CI46" s="42" t="s">
        <v>3204</v>
      </c>
      <c r="CJ46" s="42">
        <v>150</v>
      </c>
      <c r="CU46" s="42" t="s">
        <v>3515</v>
      </c>
      <c r="DG46" s="120" t="s">
        <v>3516</v>
      </c>
      <c r="DH46" s="122"/>
      <c r="DI46" s="569" t="s">
        <v>372</v>
      </c>
      <c r="DL46" s="59"/>
      <c r="DM46" s="59" t="s">
        <v>3517</v>
      </c>
      <c r="DN46" s="55">
        <v>36.299999999999997</v>
      </c>
      <c r="DO46" s="47"/>
      <c r="DP46" s="131">
        <v>1.93</v>
      </c>
      <c r="DR46" s="59"/>
      <c r="DS46" s="120" t="s">
        <v>3518</v>
      </c>
      <c r="DT46" s="122"/>
      <c r="EL46" s="59" t="s">
        <v>3519</v>
      </c>
      <c r="EM46" s="59">
        <v>29</v>
      </c>
      <c r="ER46" s="15" t="s">
        <v>3160</v>
      </c>
      <c r="ES46" s="47">
        <v>840</v>
      </c>
      <c r="EX46" s="59" t="s">
        <v>3520</v>
      </c>
      <c r="EY46" s="59">
        <v>15.19</v>
      </c>
      <c r="FF46" s="15" t="s">
        <v>197</v>
      </c>
      <c r="FL46" s="15" t="s">
        <v>372</v>
      </c>
      <c r="FP46" s="47" t="s">
        <v>3293</v>
      </c>
      <c r="FQ46" s="47">
        <v>50</v>
      </c>
      <c r="FR46" s="102"/>
      <c r="FV46" s="15" t="s">
        <v>3521</v>
      </c>
      <c r="FW46" s="59"/>
      <c r="GB46" s="168" t="s">
        <v>3522</v>
      </c>
      <c r="GC46" s="59">
        <v>20</v>
      </c>
      <c r="GN46" s="150" t="s">
        <v>3523</v>
      </c>
      <c r="GO46" s="164">
        <f>GK17+GN45-GQ17</f>
        <v>104</v>
      </c>
      <c r="GP46" s="15" t="s">
        <v>2747</v>
      </c>
      <c r="GT46" s="168" t="s">
        <v>3524</v>
      </c>
      <c r="GU46" s="59">
        <v>29.6</v>
      </c>
      <c r="GZ46" s="174">
        <v>20</v>
      </c>
      <c r="HA46" s="148" t="s">
        <v>2819</v>
      </c>
      <c r="HX46" s="208"/>
      <c r="HY46" s="208"/>
      <c r="ID46" s="67" t="s">
        <v>3525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3526</v>
      </c>
      <c r="IO46" s="226"/>
      <c r="IP46" s="196">
        <v>20</v>
      </c>
      <c r="IQ46" s="237" t="s">
        <v>2948</v>
      </c>
      <c r="IV46" s="188"/>
      <c r="IW46" s="147"/>
      <c r="JB46" s="67" t="s">
        <v>3527</v>
      </c>
      <c r="JC46" s="15">
        <v>86.8</v>
      </c>
      <c r="JH46" s="67" t="s">
        <v>3528</v>
      </c>
      <c r="JI46" s="99">
        <v>13.3</v>
      </c>
      <c r="JN46" s="181" t="s">
        <v>3529</v>
      </c>
      <c r="JO46" s="99">
        <v>2.79</v>
      </c>
      <c r="JT46" s="261" t="s">
        <v>3530</v>
      </c>
      <c r="JU46" s="271">
        <v>8.61</v>
      </c>
      <c r="JX46" s="145" t="s">
        <v>2849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3531</v>
      </c>
      <c r="KQ46" s="47"/>
      <c r="KR46" s="15" t="s">
        <v>3532</v>
      </c>
      <c r="KS46" s="15">
        <v>120</v>
      </c>
      <c r="KT46" s="15" t="s">
        <v>3240</v>
      </c>
      <c r="KV46" s="153" t="s">
        <v>3271</v>
      </c>
      <c r="KW46" s="43">
        <f>SUM(KY9:KY14)</f>
        <v>1272.93</v>
      </c>
      <c r="KX46" s="145" t="s">
        <v>3533</v>
      </c>
      <c r="KY46" s="99">
        <f>40.5+66.1</f>
        <v>106.6</v>
      </c>
      <c r="LD46" s="196">
        <v>20</v>
      </c>
      <c r="LE46" s="237" t="s">
        <v>3534</v>
      </c>
      <c r="LJ46" s="196">
        <v>7</v>
      </c>
      <c r="LK46" s="237" t="s">
        <v>3535</v>
      </c>
      <c r="LP46" s="63" t="s">
        <v>3536</v>
      </c>
      <c r="LQ46" s="15">
        <v>300</v>
      </c>
      <c r="LV46" s="63" t="s">
        <v>3537</v>
      </c>
      <c r="LW46" s="241">
        <v>3</v>
      </c>
      <c r="MB46" s="196">
        <v>10</v>
      </c>
      <c r="MC46" s="275" t="s">
        <v>3538</v>
      </c>
      <c r="MF46" s="285" t="s">
        <v>3016</v>
      </c>
      <c r="MG46" s="41">
        <f>SUM(MI41:MI42)</f>
        <v>1014.9799999999999</v>
      </c>
      <c r="MH46" s="113" t="s">
        <v>3539</v>
      </c>
      <c r="MI46" s="55">
        <f>208+49</f>
        <v>257</v>
      </c>
      <c r="MM46" s="54"/>
      <c r="MN46" s="63" t="s">
        <v>3540</v>
      </c>
      <c r="MO46" s="241">
        <v>425.1</v>
      </c>
      <c r="MP46" s="15" t="s">
        <v>3240</v>
      </c>
      <c r="MT46" s="63"/>
      <c r="MU46" s="241"/>
      <c r="NV46" s="328" t="s">
        <v>1226</v>
      </c>
      <c r="NW46" s="55">
        <f>SUM(NY6:NY11)</f>
        <v>3913.01</v>
      </c>
      <c r="NX46" s="56" t="s">
        <v>3541</v>
      </c>
      <c r="NY46" s="41">
        <v>1177.2</v>
      </c>
      <c r="OD46" s="15" t="s">
        <v>3542</v>
      </c>
      <c r="OE46" s="336">
        <v>6</v>
      </c>
      <c r="OJ46" s="15" t="s">
        <v>3480</v>
      </c>
      <c r="OK46" s="15">
        <v>406.6</v>
      </c>
      <c r="ON46" s="15"/>
    </row>
    <row r="47" spans="1:404">
      <c r="AO47" s="15" t="s">
        <v>3543</v>
      </c>
      <c r="AP47" s="15">
        <v>25</v>
      </c>
      <c r="BX47" s="82"/>
      <c r="CD47" s="82"/>
      <c r="CJ47" s="82"/>
      <c r="DG47" s="120" t="s">
        <v>3544</v>
      </c>
      <c r="DH47" s="122"/>
      <c r="DI47" s="569" t="s">
        <v>2620</v>
      </c>
      <c r="DJ47" s="98"/>
      <c r="DL47" s="59"/>
      <c r="DM47" s="59" t="s">
        <v>3545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3546</v>
      </c>
      <c r="ES47" s="59"/>
      <c r="EX47" s="59"/>
      <c r="EY47" s="59"/>
      <c r="EZ47" s="102"/>
      <c r="FC47" s="18"/>
      <c r="FF47" s="15" t="s">
        <v>2747</v>
      </c>
      <c r="FL47" s="15" t="s">
        <v>2872</v>
      </c>
      <c r="FP47" s="168" t="s">
        <v>3547</v>
      </c>
      <c r="FQ47" s="47">
        <v>4.41</v>
      </c>
      <c r="FV47" s="15" t="s">
        <v>3548</v>
      </c>
      <c r="FW47" s="15">
        <v>52.15</v>
      </c>
      <c r="GB47" s="168" t="s">
        <v>3549</v>
      </c>
      <c r="GC47" s="59">
        <v>30.35</v>
      </c>
      <c r="GH47" s="15" t="s">
        <v>3160</v>
      </c>
      <c r="GI47" s="47">
        <v>638</v>
      </c>
      <c r="GN47" s="148" t="s">
        <v>3550</v>
      </c>
      <c r="GO47" s="150"/>
      <c r="GP47" s="15" t="s">
        <v>2890</v>
      </c>
      <c r="GT47" s="168" t="s">
        <v>3551</v>
      </c>
      <c r="GU47" s="59">
        <v>32.1</v>
      </c>
      <c r="GZ47" s="174">
        <v>30</v>
      </c>
      <c r="HA47" s="148" t="s">
        <v>3552</v>
      </c>
      <c r="HX47" s="206" t="s">
        <v>3553</v>
      </c>
      <c r="HY47" s="15">
        <f>40+150</f>
        <v>190</v>
      </c>
      <c r="ID47" s="181" t="s">
        <v>3554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3237</v>
      </c>
      <c r="IO47" s="228"/>
      <c r="IP47" s="163">
        <v>10</v>
      </c>
      <c r="IQ47" s="237" t="s">
        <v>3555</v>
      </c>
      <c r="IV47" s="188"/>
      <c r="IW47" s="188"/>
      <c r="JB47" s="67" t="s">
        <v>3556</v>
      </c>
      <c r="JC47" s="99">
        <v>36.9</v>
      </c>
      <c r="JH47" s="188" t="s">
        <v>3557</v>
      </c>
      <c r="JI47" s="147">
        <v>3</v>
      </c>
      <c r="JN47" s="67" t="s">
        <v>3558</v>
      </c>
      <c r="JO47" s="99">
        <v>8.5500000000000007</v>
      </c>
      <c r="JT47" s="261" t="s">
        <v>3559</v>
      </c>
      <c r="JU47" s="271">
        <v>19.46</v>
      </c>
      <c r="JZ47" s="15" t="s">
        <v>3560</v>
      </c>
      <c r="KA47" s="55">
        <v>300</v>
      </c>
      <c r="KE47" s="47"/>
      <c r="KK47" s="47"/>
      <c r="KL47" s="196">
        <v>24</v>
      </c>
      <c r="KM47" s="237" t="s">
        <v>3561</v>
      </c>
      <c r="KQ47" s="47"/>
      <c r="KR47" s="15" t="s">
        <v>3562</v>
      </c>
      <c r="KS47" s="15">
        <v>82.45</v>
      </c>
      <c r="KV47" s="84" t="s">
        <v>3077</v>
      </c>
      <c r="KW47" s="297">
        <f>SUM(KY15:KY23)</f>
        <v>1574</v>
      </c>
      <c r="KX47" s="145" t="s">
        <v>3563</v>
      </c>
      <c r="KY47" s="99">
        <v>5.8</v>
      </c>
      <c r="LB47" s="15" t="s">
        <v>3564</v>
      </c>
      <c r="LC47" s="47"/>
      <c r="LD47" s="196">
        <v>10</v>
      </c>
      <c r="LE47" s="237" t="s">
        <v>2948</v>
      </c>
      <c r="LJ47" s="196">
        <v>50</v>
      </c>
      <c r="LK47" s="22" t="s">
        <v>3531</v>
      </c>
      <c r="LP47" s="15" t="s">
        <v>3565</v>
      </c>
      <c r="LQ47" s="15">
        <v>27.5</v>
      </c>
      <c r="LV47" s="63"/>
      <c r="MB47" s="196">
        <v>10</v>
      </c>
      <c r="MC47" s="275" t="s">
        <v>3566</v>
      </c>
      <c r="MF47" s="113" t="s">
        <v>3135</v>
      </c>
      <c r="MG47" s="38">
        <f>SUM(MI43:MI46)</f>
        <v>526.97</v>
      </c>
      <c r="MH47" s="42" t="s">
        <v>3020</v>
      </c>
      <c r="MI47" s="99">
        <f>4+4+6</f>
        <v>14</v>
      </c>
      <c r="MM47" s="54"/>
      <c r="MN47" s="63" t="s">
        <v>3567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3568</v>
      </c>
      <c r="NY47" s="41">
        <v>53.1</v>
      </c>
      <c r="OJ47" s="15" t="s">
        <v>3512</v>
      </c>
      <c r="OK47" s="59">
        <v>48</v>
      </c>
      <c r="ON47" s="15"/>
    </row>
    <row r="48" spans="1:404">
      <c r="AO48" s="15" t="s">
        <v>3569</v>
      </c>
      <c r="AP48" s="15">
        <v>508</v>
      </c>
      <c r="AU48" s="15" t="s">
        <v>3093</v>
      </c>
      <c r="AV48" s="15">
        <v>200</v>
      </c>
      <c r="DG48" s="120" t="s">
        <v>3570</v>
      </c>
      <c r="DH48" s="122"/>
      <c r="DI48" s="47" t="s">
        <v>197</v>
      </c>
      <c r="DJ48" s="55"/>
      <c r="DM48" s="59" t="s">
        <v>3571</v>
      </c>
      <c r="DN48" s="55">
        <v>34</v>
      </c>
      <c r="DO48" s="47"/>
      <c r="DP48" s="131">
        <v>21.78</v>
      </c>
      <c r="DS48" s="59" t="s">
        <v>3572</v>
      </c>
      <c r="DT48" s="55">
        <v>34.799999999999997</v>
      </c>
      <c r="EL48" s="15" t="s">
        <v>3160</v>
      </c>
      <c r="EM48" s="15">
        <v>870</v>
      </c>
      <c r="EN48" s="15" t="s">
        <v>3449</v>
      </c>
      <c r="ER48" s="15" t="s">
        <v>3249</v>
      </c>
      <c r="ES48" s="15">
        <v>60</v>
      </c>
      <c r="EX48" s="15" t="s">
        <v>3160</v>
      </c>
      <c r="EY48" s="47">
        <v>940</v>
      </c>
      <c r="FF48" s="15" t="s">
        <v>2890</v>
      </c>
      <c r="FL48" s="15" t="s">
        <v>2870</v>
      </c>
      <c r="FP48" s="168" t="s">
        <v>3573</v>
      </c>
      <c r="FQ48" s="59">
        <v>70.3</v>
      </c>
      <c r="FV48" s="15" t="s">
        <v>3574</v>
      </c>
      <c r="GH48" s="15" t="s">
        <v>3575</v>
      </c>
      <c r="GI48" s="59"/>
      <c r="GJ48" s="15" t="s">
        <v>3039</v>
      </c>
      <c r="GN48" s="148" t="s">
        <v>3576</v>
      </c>
      <c r="GO48" s="150"/>
      <c r="GT48" s="168" t="s">
        <v>3483</v>
      </c>
      <c r="GU48" s="15">
        <v>2.66</v>
      </c>
      <c r="GZ48" s="168" t="s">
        <v>3577</v>
      </c>
      <c r="HA48" s="59">
        <v>6</v>
      </c>
      <c r="HB48" s="102"/>
      <c r="HX48" s="209" t="s">
        <v>3578</v>
      </c>
      <c r="HY48" s="158">
        <v>150</v>
      </c>
      <c r="ID48" s="181" t="s">
        <v>2613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3579</v>
      </c>
      <c r="IP48" s="163">
        <f>17+11+6</f>
        <v>34</v>
      </c>
      <c r="IQ48" s="237" t="s">
        <v>3580</v>
      </c>
      <c r="IV48" s="180"/>
      <c r="IW48" s="188"/>
      <c r="JB48" s="67" t="s">
        <v>3528</v>
      </c>
      <c r="JC48" s="99">
        <v>13.3</v>
      </c>
      <c r="JH48" s="188"/>
      <c r="JI48" s="188"/>
      <c r="JN48" s="67" t="s">
        <v>3581</v>
      </c>
      <c r="JO48" s="99">
        <v>10.35</v>
      </c>
      <c r="JS48" s="262" t="s">
        <v>3582</v>
      </c>
      <c r="JT48" s="261" t="s">
        <v>3583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3584</v>
      </c>
      <c r="KR48" s="282" t="s">
        <v>3585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3586</v>
      </c>
      <c r="LC48" s="47"/>
      <c r="LD48" s="196">
        <v>7</v>
      </c>
      <c r="LE48" s="237" t="s">
        <v>3587</v>
      </c>
      <c r="LJ48" s="196">
        <v>40</v>
      </c>
      <c r="LK48" s="22" t="s">
        <v>3588</v>
      </c>
      <c r="LP48" s="63" t="s">
        <v>3589</v>
      </c>
      <c r="LQ48" s="59">
        <v>21.1</v>
      </c>
      <c r="MB48" s="63" t="s">
        <v>3590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3020</v>
      </c>
      <c r="NY48" s="41">
        <f>4.34+1.25</f>
        <v>5.59</v>
      </c>
      <c r="ON48" s="15"/>
    </row>
    <row r="49" spans="41:404">
      <c r="AO49" s="15" t="s">
        <v>3591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3592</v>
      </c>
      <c r="DH49" s="122"/>
      <c r="DI49" s="15" t="s">
        <v>2747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3593</v>
      </c>
      <c r="EX49" s="15" t="s">
        <v>3594</v>
      </c>
      <c r="EY49" s="59"/>
      <c r="FL49" s="15" t="s">
        <v>197</v>
      </c>
      <c r="FP49" s="168" t="s">
        <v>3595</v>
      </c>
      <c r="FQ49" s="59">
        <v>206</v>
      </c>
      <c r="FV49" s="15" t="s">
        <v>3249</v>
      </c>
      <c r="FW49" s="15">
        <v>48</v>
      </c>
      <c r="GB49" s="15" t="s">
        <v>3160</v>
      </c>
      <c r="GC49" s="47">
        <v>1057</v>
      </c>
      <c r="GH49" s="15" t="s">
        <v>3249</v>
      </c>
      <c r="GI49" s="15">
        <v>72</v>
      </c>
      <c r="GJ49" s="102" t="s">
        <v>3596</v>
      </c>
      <c r="GN49" s="148" t="s">
        <v>3597</v>
      </c>
      <c r="GO49" s="150"/>
      <c r="GT49" s="168" t="s">
        <v>3598</v>
      </c>
      <c r="GU49" s="59">
        <v>60.6</v>
      </c>
      <c r="GV49" s="630" t="s">
        <v>3599</v>
      </c>
      <c r="GZ49" s="15" t="s">
        <v>3600</v>
      </c>
      <c r="HA49" s="176">
        <v>670.00099999999998</v>
      </c>
      <c r="HX49" s="210" t="s">
        <v>3601</v>
      </c>
      <c r="HY49" s="15">
        <f>389.7+107.1</f>
        <v>496.79999999999995</v>
      </c>
      <c r="ID49" s="181" t="s">
        <v>3602</v>
      </c>
      <c r="IE49" s="15">
        <v>195.81</v>
      </c>
      <c r="IH49" s="145" t="s">
        <v>2818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3603</v>
      </c>
      <c r="IV49" s="188"/>
      <c r="IW49" s="156"/>
      <c r="JB49" s="181"/>
      <c r="JC49" s="99"/>
      <c r="JH49" s="180"/>
      <c r="JI49" s="188"/>
      <c r="JN49" s="67" t="s">
        <v>3604</v>
      </c>
      <c r="JO49" s="99">
        <v>15.000999999999999</v>
      </c>
      <c r="JS49" s="263" t="s">
        <v>3605</v>
      </c>
      <c r="JT49" s="261" t="s">
        <v>3606</v>
      </c>
      <c r="JU49" s="273">
        <f>0.29*3</f>
        <v>0.86999999999999988</v>
      </c>
      <c r="JZ49" s="194">
        <v>47.04</v>
      </c>
      <c r="KA49" s="44" t="s">
        <v>3607</v>
      </c>
      <c r="KL49" s="15" t="s">
        <v>3608</v>
      </c>
      <c r="KM49" s="15">
        <v>7.2</v>
      </c>
      <c r="KR49" s="15" t="s">
        <v>3609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3610</v>
      </c>
      <c r="LJ49" s="63" t="s">
        <v>3611</v>
      </c>
      <c r="LK49" s="41">
        <v>28.72</v>
      </c>
      <c r="LP49" s="63" t="s">
        <v>3612</v>
      </c>
      <c r="LQ49" s="55">
        <v>17.5</v>
      </c>
      <c r="LV49" s="63"/>
      <c r="LW49" s="59"/>
      <c r="MB49" s="63" t="s">
        <v>3613</v>
      </c>
      <c r="MC49" s="15">
        <v>14.4</v>
      </c>
      <c r="MF49" s="317" t="s">
        <v>2849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3025</v>
      </c>
      <c r="NY49" s="41">
        <f>1+5.9+6.95</f>
        <v>13.850000000000001</v>
      </c>
      <c r="ON49" s="15"/>
    </row>
    <row r="50" spans="41:404">
      <c r="AO50" s="15" t="s">
        <v>3614</v>
      </c>
      <c r="AP50" s="15">
        <v>810</v>
      </c>
      <c r="AU50" s="15" t="s">
        <v>3204</v>
      </c>
      <c r="AV50" s="15">
        <v>100</v>
      </c>
      <c r="DG50" s="120" t="s">
        <v>3615</v>
      </c>
      <c r="DH50" s="122"/>
      <c r="DI50" s="75" t="s">
        <v>2795</v>
      </c>
      <c r="DK50" s="59"/>
      <c r="DM50" s="42" t="s">
        <v>3616</v>
      </c>
      <c r="DN50" s="44">
        <v>700</v>
      </c>
      <c r="DO50" s="47"/>
      <c r="DP50" s="131">
        <v>15.35</v>
      </c>
      <c r="DQ50" s="59"/>
      <c r="DS50" s="42" t="s">
        <v>3617</v>
      </c>
      <c r="DT50" s="117">
        <v>0</v>
      </c>
      <c r="DU50" s="47"/>
      <c r="EL50" s="15" t="s">
        <v>3249</v>
      </c>
      <c r="EM50" s="15">
        <v>100</v>
      </c>
      <c r="EV50" s="18"/>
      <c r="EX50" s="15" t="s">
        <v>3249</v>
      </c>
      <c r="EY50" s="15">
        <v>30</v>
      </c>
      <c r="FL50" s="15" t="s">
        <v>2747</v>
      </c>
      <c r="FP50" s="168" t="s">
        <v>3618</v>
      </c>
      <c r="FQ50" s="59">
        <v>45.6</v>
      </c>
      <c r="GB50" s="15" t="s">
        <v>3619</v>
      </c>
      <c r="GC50" s="59"/>
      <c r="GN50" s="148" t="s">
        <v>3620</v>
      </c>
      <c r="GO50" s="150"/>
      <c r="GP50" s="15" t="s">
        <v>3039</v>
      </c>
      <c r="GT50" s="168" t="s">
        <v>3621</v>
      </c>
      <c r="GU50" s="59">
        <v>14.9</v>
      </c>
      <c r="GV50" s="630"/>
      <c r="GZ50" s="176" t="s">
        <v>3622</v>
      </c>
      <c r="HX50" s="209" t="s">
        <v>3623</v>
      </c>
      <c r="HY50" s="197">
        <v>14.4</v>
      </c>
      <c r="ID50" s="181" t="s">
        <v>3624</v>
      </c>
      <c r="IE50" s="15">
        <v>50</v>
      </c>
      <c r="IH50" s="148" t="s">
        <v>3625</v>
      </c>
      <c r="II50" s="163">
        <v>300</v>
      </c>
      <c r="IJ50" s="163">
        <v>20</v>
      </c>
      <c r="IK50" s="148" t="s">
        <v>3626</v>
      </c>
      <c r="IP50" s="67" t="s">
        <v>3627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3628</v>
      </c>
      <c r="JO50" s="147">
        <v>7.67</v>
      </c>
      <c r="JS50" s="264"/>
      <c r="JT50" s="265" t="s">
        <v>3629</v>
      </c>
      <c r="JU50" s="272">
        <v>21.27</v>
      </c>
      <c r="JZ50" s="170" t="s">
        <v>2778</v>
      </c>
      <c r="KA50" s="195">
        <f>JW19+JY53+JY8-KC19</f>
        <v>280</v>
      </c>
      <c r="KL50" s="15" t="s">
        <v>3630</v>
      </c>
      <c r="KM50" s="15">
        <v>32.4</v>
      </c>
      <c r="KR50" s="42" t="s">
        <v>3631</v>
      </c>
      <c r="KS50" s="59">
        <v>25.8</v>
      </c>
      <c r="KV50" s="145" t="s">
        <v>2849</v>
      </c>
      <c r="KW50" s="255">
        <f>SUM(KY40:KY47)</f>
        <v>355.47</v>
      </c>
      <c r="KX50" s="194">
        <v>1.9</v>
      </c>
      <c r="KY50" s="44"/>
      <c r="LD50" s="282" t="s">
        <v>3632</v>
      </c>
      <c r="LE50" s="241">
        <f>7.77+2.71</f>
        <v>10.48</v>
      </c>
      <c r="LJ50" s="63" t="s">
        <v>3633</v>
      </c>
      <c r="LK50" s="41">
        <v>39.75</v>
      </c>
      <c r="LP50" s="63" t="s">
        <v>3634</v>
      </c>
      <c r="LQ50" s="241">
        <v>5.5</v>
      </c>
      <c r="LV50" s="63"/>
      <c r="LW50" s="55"/>
      <c r="MB50" s="63" t="s">
        <v>3635</v>
      </c>
      <c r="MC50" s="55">
        <v>4.4800000000000004</v>
      </c>
      <c r="MH50" s="170" t="s">
        <v>2778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3636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3637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2890</v>
      </c>
      <c r="FP51" s="67" t="s">
        <v>3638</v>
      </c>
      <c r="FQ51" s="67"/>
      <c r="GB51" s="15" t="s">
        <v>3249</v>
      </c>
      <c r="GC51" s="15">
        <v>100</v>
      </c>
      <c r="GN51" s="168" t="s">
        <v>3639</v>
      </c>
      <c r="GO51" s="59">
        <f>360+18</f>
        <v>378</v>
      </c>
      <c r="GP51" s="102" t="s">
        <v>3596</v>
      </c>
      <c r="GT51" s="168" t="s">
        <v>3640</v>
      </c>
      <c r="GU51" s="59">
        <v>55.29</v>
      </c>
      <c r="GV51" s="630"/>
      <c r="GZ51" s="15" t="s">
        <v>3490</v>
      </c>
      <c r="HA51" s="59">
        <v>50.000999999999998</v>
      </c>
      <c r="HX51" s="210" t="s">
        <v>3641</v>
      </c>
      <c r="HY51" s="15">
        <v>17.88</v>
      </c>
      <c r="ID51" s="181" t="s">
        <v>3642</v>
      </c>
      <c r="IE51" s="15">
        <v>26.8</v>
      </c>
      <c r="IJ51" s="196">
        <v>10</v>
      </c>
      <c r="IK51" s="22" t="s">
        <v>2721</v>
      </c>
      <c r="IP51" s="67" t="s">
        <v>3527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3643</v>
      </c>
      <c r="JO51" s="147">
        <v>3</v>
      </c>
      <c r="JT51" s="266" t="s">
        <v>3644</v>
      </c>
      <c r="JU51" s="274"/>
      <c r="JZ51" s="196">
        <v>34</v>
      </c>
      <c r="KA51" s="275" t="s">
        <v>3645</v>
      </c>
      <c r="KL51" s="282" t="s">
        <v>3646</v>
      </c>
      <c r="KM51" s="294">
        <v>1746</v>
      </c>
      <c r="KR51" s="282" t="s">
        <v>3647</v>
      </c>
      <c r="KS51" s="241">
        <v>19.07</v>
      </c>
      <c r="KX51" s="170" t="s">
        <v>2778</v>
      </c>
      <c r="KY51" s="195">
        <f>KU26+KW52-LA25</f>
        <v>210</v>
      </c>
      <c r="LD51" s="15" t="s">
        <v>3648</v>
      </c>
      <c r="LE51" s="15">
        <v>6.3</v>
      </c>
      <c r="LJ51" s="282" t="s">
        <v>3649</v>
      </c>
      <c r="LK51" s="241">
        <v>810</v>
      </c>
      <c r="LV51" s="63"/>
      <c r="LW51" s="241"/>
      <c r="MB51" s="15" t="s">
        <v>3650</v>
      </c>
      <c r="MC51" s="178">
        <v>523.20000000000005</v>
      </c>
      <c r="MF51" s="150" t="s">
        <v>3651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3652</v>
      </c>
      <c r="AP52" s="15">
        <v>12.9</v>
      </c>
      <c r="DG52" s="59" t="s">
        <v>3653</v>
      </c>
      <c r="DH52" s="55">
        <v>120</v>
      </c>
      <c r="DI52" s="67" t="s">
        <v>2890</v>
      </c>
      <c r="DK52" s="59"/>
      <c r="DM52" s="42" t="s">
        <v>3249</v>
      </c>
      <c r="DN52" s="44">
        <v>50</v>
      </c>
      <c r="DO52" s="47"/>
      <c r="DP52" s="131">
        <v>11.6</v>
      </c>
      <c r="DQ52" s="59"/>
      <c r="DS52" s="42" t="s">
        <v>3654</v>
      </c>
      <c r="FF52" s="102"/>
      <c r="FP52" s="168" t="s">
        <v>3655</v>
      </c>
      <c r="FQ52" s="59">
        <v>29.95</v>
      </c>
      <c r="GN52" s="168" t="s">
        <v>3656</v>
      </c>
      <c r="GO52" s="15">
        <v>38.9</v>
      </c>
      <c r="GU52" s="59"/>
      <c r="GV52" s="630"/>
      <c r="HF52" s="47"/>
      <c r="HX52" s="210" t="s">
        <v>3657</v>
      </c>
      <c r="HY52" s="15">
        <v>23.86</v>
      </c>
      <c r="IJ52" s="67" t="s">
        <v>3658</v>
      </c>
      <c r="IK52" s="95">
        <f>161+14</f>
        <v>175</v>
      </c>
      <c r="IP52" s="67" t="s">
        <v>3659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2832</v>
      </c>
      <c r="KV52" s="150" t="s">
        <v>3660</v>
      </c>
      <c r="KW52" s="281">
        <v>200</v>
      </c>
      <c r="KX52" s="196">
        <v>20</v>
      </c>
      <c r="KY52" s="275" t="s">
        <v>3661</v>
      </c>
      <c r="LD52" s="282" t="s">
        <v>3662</v>
      </c>
      <c r="LE52" s="241">
        <v>6.8</v>
      </c>
      <c r="LJ52" s="15" t="s">
        <v>3663</v>
      </c>
      <c r="LK52" s="41">
        <v>680</v>
      </c>
      <c r="LQ52" s="238"/>
      <c r="MB52" s="63" t="s">
        <v>3664</v>
      </c>
      <c r="MC52" s="55">
        <f>3.5+2.2</f>
        <v>5.7</v>
      </c>
      <c r="MH52" s="196">
        <v>10</v>
      </c>
      <c r="MI52" s="275" t="s">
        <v>3027</v>
      </c>
      <c r="NV52" s="317" t="s">
        <v>2849</v>
      </c>
      <c r="NW52" s="308">
        <f>SUM(NY31:NY43)</f>
        <v>525.49</v>
      </c>
      <c r="NX52" s="170" t="s">
        <v>2778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3665</v>
      </c>
      <c r="DH53" s="55">
        <v>143.96</v>
      </c>
      <c r="DK53" s="59"/>
      <c r="DO53" s="47"/>
      <c r="DP53" s="131">
        <v>2</v>
      </c>
      <c r="DQ53" s="59"/>
      <c r="DS53" s="42" t="s">
        <v>3249</v>
      </c>
      <c r="DT53" s="44">
        <v>80</v>
      </c>
      <c r="FP53" s="168" t="s">
        <v>3666</v>
      </c>
      <c r="FQ53" s="59">
        <v>120</v>
      </c>
      <c r="GN53" s="168" t="s">
        <v>3667</v>
      </c>
      <c r="GO53" s="59">
        <v>33</v>
      </c>
      <c r="GT53" s="15" t="s">
        <v>3600</v>
      </c>
      <c r="GU53" s="177">
        <v>900</v>
      </c>
      <c r="HB53" s="47"/>
      <c r="HC53" s="47"/>
      <c r="HD53" s="47"/>
      <c r="HE53" s="47"/>
      <c r="HF53" s="47"/>
      <c r="HX53" s="210" t="s">
        <v>3668</v>
      </c>
      <c r="HY53" s="15">
        <v>19.89</v>
      </c>
      <c r="ID53" s="208" t="s">
        <v>3491</v>
      </c>
      <c r="IE53" s="208"/>
      <c r="II53" s="226"/>
      <c r="IJ53" s="67" t="s">
        <v>3669</v>
      </c>
      <c r="IK53" s="95">
        <v>87.8</v>
      </c>
      <c r="IP53" s="180" t="s">
        <v>3670</v>
      </c>
      <c r="IQ53" s="99">
        <v>84.9</v>
      </c>
      <c r="IV53" s="181"/>
      <c r="JB53" s="188"/>
      <c r="JC53" s="147"/>
      <c r="JH53" s="181"/>
      <c r="JI53" s="188"/>
      <c r="JX53" s="150" t="s">
        <v>3671</v>
      </c>
      <c r="JY53" s="163">
        <v>200</v>
      </c>
      <c r="JZ53" s="196">
        <v>7</v>
      </c>
      <c r="KA53" s="237" t="s">
        <v>3206</v>
      </c>
      <c r="KL53" s="282"/>
      <c r="KM53" s="241"/>
      <c r="KX53" s="196">
        <v>10</v>
      </c>
      <c r="KY53" s="237" t="s">
        <v>3672</v>
      </c>
      <c r="LD53" s="15" t="s">
        <v>3673</v>
      </c>
      <c r="LE53" s="15">
        <f>53.6+6.5</f>
        <v>60.1</v>
      </c>
      <c r="LJ53" s="15" t="s">
        <v>3674</v>
      </c>
      <c r="LK53" s="241">
        <v>262</v>
      </c>
      <c r="LQ53" s="59"/>
      <c r="LW53" s="238"/>
      <c r="MB53" s="63" t="s">
        <v>3511</v>
      </c>
      <c r="MC53" s="241">
        <v>15.5</v>
      </c>
      <c r="MG53" s="54"/>
      <c r="MH53" s="196">
        <v>20</v>
      </c>
      <c r="MI53" s="275" t="s">
        <v>3675</v>
      </c>
      <c r="NX53" s="196">
        <v>20</v>
      </c>
      <c r="NY53" s="23" t="s">
        <v>3027</v>
      </c>
    </row>
    <row r="54" spans="41:404">
      <c r="DA54" s="59"/>
      <c r="DB54" s="59"/>
      <c r="DC54" s="47"/>
      <c r="DD54" s="54"/>
      <c r="DG54" s="42" t="s">
        <v>3676</v>
      </c>
      <c r="DH54" s="44">
        <v>51</v>
      </c>
      <c r="DK54" s="59"/>
      <c r="DO54" s="47"/>
      <c r="DP54" s="131">
        <v>28.8</v>
      </c>
      <c r="DQ54" s="59"/>
      <c r="FP54" s="168" t="s">
        <v>3677</v>
      </c>
      <c r="FQ54" s="59">
        <v>108.12</v>
      </c>
      <c r="GO54" s="59"/>
      <c r="GT54" s="177" t="s">
        <v>3678</v>
      </c>
      <c r="HB54" s="47"/>
      <c r="HC54" s="47"/>
      <c r="HD54" s="184"/>
      <c r="HE54" s="47"/>
      <c r="HF54" s="47"/>
      <c r="HX54" s="210" t="s">
        <v>3679</v>
      </c>
      <c r="HY54" s="15">
        <f>30.9+469.82+100.14+34.91</f>
        <v>635.77</v>
      </c>
      <c r="ID54" s="206" t="s">
        <v>3680</v>
      </c>
      <c r="IE54" s="15">
        <f>30+139.5</f>
        <v>169.5</v>
      </c>
      <c r="II54" s="226"/>
      <c r="IJ54" s="67" t="s">
        <v>3681</v>
      </c>
      <c r="IK54" s="95">
        <f>40.6+11.5</f>
        <v>52.1</v>
      </c>
      <c r="IP54" s="181" t="s">
        <v>3682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3683</v>
      </c>
      <c r="KS54" s="59"/>
      <c r="KW54" s="47"/>
      <c r="KX54" s="196">
        <v>10</v>
      </c>
      <c r="KY54" s="237" t="s">
        <v>2713</v>
      </c>
      <c r="LD54" s="15" t="s">
        <v>3684</v>
      </c>
      <c r="LE54" s="15">
        <v>70</v>
      </c>
      <c r="LJ54" s="15" t="s">
        <v>3685</v>
      </c>
      <c r="LK54" s="15">
        <v>7.9</v>
      </c>
      <c r="LW54" s="59"/>
      <c r="MB54" s="63" t="s">
        <v>3686</v>
      </c>
      <c r="MC54" s="59">
        <v>42.9</v>
      </c>
      <c r="MG54" s="54"/>
      <c r="MH54" s="196">
        <v>90</v>
      </c>
      <c r="MI54" s="275" t="s">
        <v>3687</v>
      </c>
      <c r="NV54" s="150" t="s">
        <v>3688</v>
      </c>
      <c r="NW54" s="163">
        <v>-500</v>
      </c>
      <c r="NX54" s="196">
        <v>20</v>
      </c>
      <c r="NY54" s="324" t="s">
        <v>2713</v>
      </c>
      <c r="OG54" s="21"/>
      <c r="OL54" s="588"/>
    </row>
    <row r="55" spans="41:404">
      <c r="AO55" s="15" t="s">
        <v>3689</v>
      </c>
      <c r="AP55" s="15">
        <v>600</v>
      </c>
      <c r="DA55" s="59"/>
      <c r="DB55" s="59"/>
      <c r="DC55" s="47"/>
      <c r="DD55" s="54"/>
      <c r="DE55" s="59"/>
      <c r="DG55" s="59" t="s">
        <v>3690</v>
      </c>
      <c r="DH55" s="44">
        <f>500+356</f>
        <v>856</v>
      </c>
      <c r="DI55" s="102" t="s">
        <v>3596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3490</v>
      </c>
      <c r="GU55" s="59">
        <v>44</v>
      </c>
      <c r="HB55" s="47"/>
      <c r="HC55" s="47"/>
      <c r="HD55" s="184"/>
      <c r="HE55" s="47"/>
      <c r="HF55" s="47"/>
      <c r="HX55" s="15" t="s">
        <v>3691</v>
      </c>
      <c r="HY55" s="15">
        <v>7329.5</v>
      </c>
      <c r="ID55" s="206" t="s">
        <v>3692</v>
      </c>
      <c r="IE55" s="15">
        <v>15.32</v>
      </c>
      <c r="II55" s="228"/>
      <c r="IJ55" s="67" t="s">
        <v>3693</v>
      </c>
      <c r="IK55" s="95">
        <v>10.49</v>
      </c>
      <c r="IP55" s="181" t="s">
        <v>3694</v>
      </c>
      <c r="IQ55" s="99"/>
      <c r="IV55" s="181"/>
      <c r="JB55" s="180"/>
      <c r="JC55" s="188"/>
      <c r="JH55" s="181"/>
      <c r="JZ55" s="196">
        <v>20</v>
      </c>
      <c r="KA55" s="237" t="s">
        <v>3695</v>
      </c>
      <c r="KW55" s="47"/>
      <c r="KX55" s="196">
        <v>40</v>
      </c>
      <c r="KY55" s="237" t="s">
        <v>3696</v>
      </c>
      <c r="LE55" s="59"/>
      <c r="LJ55" s="15" t="s">
        <v>3697</v>
      </c>
      <c r="LK55" s="59">
        <v>49</v>
      </c>
      <c r="MC55" s="238"/>
      <c r="MH55" s="63" t="s">
        <v>3698</v>
      </c>
      <c r="MI55" s="241">
        <v>7.8</v>
      </c>
      <c r="NI55" s="21"/>
      <c r="NV55" s="158" t="s">
        <v>3699</v>
      </c>
      <c r="NW55" s="54"/>
      <c r="NX55" s="63" t="s">
        <v>3511</v>
      </c>
      <c r="NY55" s="55">
        <v>47.9</v>
      </c>
      <c r="OA55" s="21"/>
    </row>
    <row r="56" spans="41:404">
      <c r="AO56" s="15" t="s">
        <v>3700</v>
      </c>
      <c r="AP56" s="15">
        <v>300</v>
      </c>
      <c r="DA56" s="59"/>
      <c r="DB56" s="59"/>
      <c r="DC56" s="123"/>
      <c r="DD56" s="124"/>
      <c r="DE56" s="59"/>
      <c r="DG56" s="59" t="s">
        <v>3701</v>
      </c>
      <c r="DH56" s="44">
        <v>30</v>
      </c>
      <c r="DK56" s="59"/>
      <c r="DO56" s="47" t="s">
        <v>3702</v>
      </c>
      <c r="DP56" s="131">
        <v>-1122.52</v>
      </c>
      <c r="DQ56" s="59"/>
      <c r="FP56" s="15" t="s">
        <v>3160</v>
      </c>
      <c r="FQ56" s="47">
        <v>753.05</v>
      </c>
      <c r="GN56" s="15" t="s">
        <v>3703</v>
      </c>
      <c r="GO56" s="47"/>
      <c r="HB56" s="47"/>
      <c r="HC56" s="47"/>
      <c r="HD56" s="184"/>
      <c r="HE56" s="47"/>
      <c r="HF56" s="47"/>
      <c r="HX56" s="181"/>
      <c r="ID56" s="209" t="s">
        <v>3704</v>
      </c>
      <c r="IE56" s="158">
        <v>67.61</v>
      </c>
      <c r="IJ56" s="67" t="s">
        <v>3679</v>
      </c>
      <c r="IK56" s="95">
        <v>135.09</v>
      </c>
      <c r="IP56" s="181" t="s">
        <v>1358</v>
      </c>
      <c r="IQ56" s="99">
        <v>47.05</v>
      </c>
      <c r="JB56" s="188"/>
      <c r="JC56" s="156"/>
      <c r="JH56" s="181"/>
      <c r="JZ56" s="196">
        <v>80</v>
      </c>
      <c r="KA56" s="237" t="s">
        <v>3705</v>
      </c>
      <c r="KM56" s="59"/>
      <c r="KX56" s="196">
        <v>20</v>
      </c>
      <c r="KY56" s="237" t="s">
        <v>3706</v>
      </c>
      <c r="MC56" s="59"/>
      <c r="MH56" s="63" t="s">
        <v>3707</v>
      </c>
      <c r="MI56" s="15">
        <f>327+98.1</f>
        <v>425.1</v>
      </c>
      <c r="NX56" s="15" t="s">
        <v>3235</v>
      </c>
      <c r="NY56" s="59">
        <v>300</v>
      </c>
      <c r="OM56" s="21"/>
    </row>
    <row r="57" spans="41:404">
      <c r="DA57" s="59"/>
      <c r="DB57" s="59"/>
      <c r="DC57" s="47"/>
      <c r="DD57" s="54"/>
      <c r="DE57" s="59"/>
      <c r="DG57" s="42" t="s">
        <v>3708</v>
      </c>
      <c r="DH57" s="44">
        <v>30</v>
      </c>
      <c r="DK57" s="59"/>
      <c r="DO57" s="47" t="s">
        <v>3709</v>
      </c>
      <c r="DP57" s="131">
        <f>SUM(DP44:DP56)</f>
        <v>1647.79</v>
      </c>
      <c r="DQ57" s="59"/>
      <c r="FP57" s="15" t="s">
        <v>3710</v>
      </c>
      <c r="FQ57" s="59"/>
      <c r="GN57" s="15" t="s">
        <v>3249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3711</v>
      </c>
      <c r="IE57" s="211">
        <v>-25.98</v>
      </c>
      <c r="IJ57" s="208" t="s">
        <v>3712</v>
      </c>
      <c r="IK57" s="208"/>
      <c r="IP57" s="181" t="s">
        <v>3713</v>
      </c>
      <c r="IQ57" s="238">
        <v>22.2</v>
      </c>
      <c r="JB57" s="181"/>
      <c r="JC57" s="239"/>
      <c r="JZ57" s="196">
        <v>6</v>
      </c>
      <c r="KA57" s="237" t="s">
        <v>3714</v>
      </c>
      <c r="KX57" s="196">
        <v>10</v>
      </c>
      <c r="KY57" s="237" t="s">
        <v>3715</v>
      </c>
      <c r="MH57" s="63" t="s">
        <v>3716</v>
      </c>
      <c r="MI57" s="59">
        <v>87.04</v>
      </c>
      <c r="NU57" s="21"/>
      <c r="NX57" s="15" t="s">
        <v>3717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3718</v>
      </c>
      <c r="DH58" s="44">
        <v>58.2</v>
      </c>
      <c r="DK58" s="59"/>
      <c r="DQ58" s="59"/>
      <c r="FP58" s="15" t="s">
        <v>3249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3719</v>
      </c>
      <c r="IE58" s="15">
        <v>8.8000000000000007</v>
      </c>
      <c r="IJ58" s="181" t="s">
        <v>3720</v>
      </c>
      <c r="IK58" s="15">
        <v>150</v>
      </c>
      <c r="IP58" s="188" t="s">
        <v>3721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3722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3723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3724</v>
      </c>
      <c r="IE59" s="15">
        <f>2000+1311.79</f>
        <v>3311.79</v>
      </c>
      <c r="IJ59" s="181" t="s">
        <v>3719</v>
      </c>
      <c r="IK59" s="15">
        <v>5.4</v>
      </c>
      <c r="IP59" s="188"/>
      <c r="IQ59" s="188"/>
      <c r="JB59" s="181"/>
      <c r="JC59" s="188"/>
      <c r="JW59" s="21"/>
      <c r="JZ59" s="15" t="s">
        <v>3725</v>
      </c>
      <c r="KA59" s="15">
        <v>31.001000000000001</v>
      </c>
      <c r="KC59" s="21"/>
      <c r="KX59" s="196">
        <v>8</v>
      </c>
      <c r="KY59" s="237" t="s">
        <v>3473</v>
      </c>
      <c r="LG59" s="21"/>
      <c r="MH59" s="63" t="s">
        <v>3726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3728</v>
      </c>
      <c r="KA60" s="178">
        <f>30/5.217</f>
        <v>5.7504312823461765</v>
      </c>
      <c r="KX60" s="196">
        <v>10</v>
      </c>
      <c r="KY60" s="237" t="s">
        <v>3729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3731</v>
      </c>
      <c r="KA61" s="15">
        <v>21.81</v>
      </c>
      <c r="KX61" s="196">
        <v>40</v>
      </c>
      <c r="KY61" s="237" t="s">
        <v>3732</v>
      </c>
      <c r="LA61" s="21"/>
      <c r="MI61" s="59"/>
      <c r="MW61" s="21"/>
    </row>
    <row r="62" spans="41:404">
      <c r="DE62" s="59"/>
      <c r="DG62" s="42" t="s">
        <v>3733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3734</v>
      </c>
      <c r="KA62" s="15">
        <v>11.25</v>
      </c>
      <c r="KU62" s="21"/>
      <c r="KX62" s="282" t="s">
        <v>3613</v>
      </c>
      <c r="KY62" s="241">
        <v>14.4</v>
      </c>
      <c r="LM62" s="21"/>
    </row>
    <row r="63" spans="41:404">
      <c r="DE63" s="59"/>
      <c r="DG63" s="42" t="s">
        <v>3735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3320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3736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3737</v>
      </c>
      <c r="KA65" s="15">
        <v>9.8000000000000007</v>
      </c>
    </row>
    <row r="66" spans="205:311">
      <c r="IJ66" s="180"/>
      <c r="IK66" s="158"/>
      <c r="IP66" s="181"/>
      <c r="JZ66" s="15" t="s">
        <v>3738</v>
      </c>
      <c r="KA66" s="15">
        <v>9.77</v>
      </c>
    </row>
    <row r="67" spans="205:311">
      <c r="IK67" s="211"/>
      <c r="IM67" s="21"/>
      <c r="IP67" s="181"/>
      <c r="IS67" s="21"/>
      <c r="JZ67" s="15" t="s">
        <v>3739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3318</v>
      </c>
      <c r="JZ68" s="15" t="s">
        <v>3740</v>
      </c>
      <c r="KA68" s="15">
        <v>6.62</v>
      </c>
    </row>
    <row r="69" spans="205:311">
      <c r="HO69" s="21"/>
      <c r="IG69" s="21"/>
      <c r="IJ69" s="181"/>
      <c r="JZ69" s="250" t="s">
        <v>3741</v>
      </c>
      <c r="KA69" s="15">
        <v>69</v>
      </c>
    </row>
    <row r="70" spans="205:311">
      <c r="IJ70" s="181"/>
      <c r="JZ70" s="250" t="s">
        <v>3742</v>
      </c>
      <c r="KA70" s="15">
        <v>8</v>
      </c>
    </row>
    <row r="71" spans="205:311">
      <c r="IJ71" s="181"/>
      <c r="JZ71" s="344" t="s">
        <v>3743</v>
      </c>
      <c r="KA71" s="59">
        <v>29.7</v>
      </c>
    </row>
    <row r="72" spans="205:311">
      <c r="IJ72" s="181"/>
      <c r="JZ72" s="250" t="s">
        <v>3744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3745</v>
      </c>
      <c r="AP2" s="39">
        <v>3.5499999999999997E-2</v>
      </c>
      <c r="AT2" s="39">
        <v>3.3000000000000002E-2</v>
      </c>
    </row>
    <row r="3" spans="2:48">
      <c r="D3" t="s">
        <v>3746</v>
      </c>
      <c r="G3" t="s">
        <v>532</v>
      </c>
      <c r="H3" t="s">
        <v>3746</v>
      </c>
      <c r="K3" t="s">
        <v>532</v>
      </c>
      <c r="L3" t="s">
        <v>3746</v>
      </c>
      <c r="O3" t="s">
        <v>532</v>
      </c>
      <c r="R3" s="30" t="s">
        <v>148</v>
      </c>
      <c r="S3" t="s">
        <v>532</v>
      </c>
      <c r="T3" t="s">
        <v>3746</v>
      </c>
      <c r="V3" s="30" t="s">
        <v>148</v>
      </c>
      <c r="W3" t="s">
        <v>532</v>
      </c>
      <c r="X3" s="31" t="s">
        <v>3746</v>
      </c>
      <c r="Z3" s="30" t="s">
        <v>148</v>
      </c>
      <c r="AA3" t="s">
        <v>532</v>
      </c>
      <c r="AB3" t="s">
        <v>3746</v>
      </c>
      <c r="AD3" s="30" t="s">
        <v>1401</v>
      </c>
      <c r="AE3" t="s">
        <v>532</v>
      </c>
      <c r="AF3" t="s">
        <v>3746</v>
      </c>
      <c r="AH3" s="30" t="s">
        <v>1401</v>
      </c>
      <c r="AI3" t="s">
        <v>532</v>
      </c>
      <c r="AJ3" t="s">
        <v>3746</v>
      </c>
      <c r="AL3" s="30" t="s">
        <v>1401</v>
      </c>
      <c r="AM3" t="s">
        <v>532</v>
      </c>
      <c r="AN3" t="s">
        <v>3746</v>
      </c>
      <c r="AP3" s="30" t="s">
        <v>1401</v>
      </c>
      <c r="AQ3" t="s">
        <v>532</v>
      </c>
      <c r="AR3" t="s">
        <v>3746</v>
      </c>
      <c r="AT3" s="30" t="s">
        <v>1336</v>
      </c>
      <c r="AU3" t="s">
        <v>532</v>
      </c>
      <c r="AV3" t="s">
        <v>3746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3747</v>
      </c>
      <c r="D36" s="35">
        <f>SUM(D4:D34)*88</f>
        <v>1895.7128767123286</v>
      </c>
      <c r="F36" s="30" t="s">
        <v>3747</v>
      </c>
      <c r="H36" s="35">
        <f>SUM(H4:H34)*88</f>
        <v>2121.0410958904108</v>
      </c>
      <c r="J36" s="30" t="s">
        <v>3747</v>
      </c>
      <c r="L36" s="35">
        <f>SUM(L4:L34)*88</f>
        <v>2597.8082191780818</v>
      </c>
      <c r="N36" s="30" t="s">
        <v>3747</v>
      </c>
      <c r="P36" s="35">
        <f>SUM(P4:P34)*88</f>
        <v>2650.7287671232875</v>
      </c>
      <c r="R36" s="30" t="s">
        <v>3747</v>
      </c>
      <c r="T36" s="35">
        <v>292.3</v>
      </c>
      <c r="U36" s="35"/>
      <c r="V36" s="30" t="s">
        <v>3747</v>
      </c>
      <c r="X36" s="31">
        <f>SUM(X4:X34)</f>
        <v>769.29589041095926</v>
      </c>
      <c r="Z36" s="30" t="s">
        <v>3747</v>
      </c>
      <c r="AB36" s="37">
        <f>SUM(AB4:AB34)</f>
        <v>1085.6610958904116</v>
      </c>
      <c r="AD36" s="30" t="s">
        <v>3747</v>
      </c>
      <c r="AF36" s="35">
        <f>SUM(AF4:AF34)</f>
        <v>133.09219178082193</v>
      </c>
      <c r="AH36" s="30" t="s">
        <v>3747</v>
      </c>
      <c r="AJ36" s="35">
        <f>SUM(AJ4:AJ34)</f>
        <v>119.3794520547945</v>
      </c>
      <c r="AL36" s="30" t="s">
        <v>3747</v>
      </c>
      <c r="AN36" s="35">
        <f>SUM(AN4:AN34)</f>
        <v>285.53424657534237</v>
      </c>
      <c r="AO36" s="35"/>
      <c r="AP36" s="30" t="s">
        <v>3747</v>
      </c>
      <c r="AR36" s="35">
        <f>SUM(AR4:AR34)</f>
        <v>559.83013698630134</v>
      </c>
      <c r="AT36" s="30" t="s">
        <v>3747</v>
      </c>
      <c r="AV36" s="35">
        <f>SUM(AV4:AV34)</f>
        <v>741.14383561643831</v>
      </c>
    </row>
    <row r="37" spans="2:48">
      <c r="B37" s="30" t="s">
        <v>3748</v>
      </c>
      <c r="D37" s="35">
        <f>'HIS19'!KQ21</f>
        <v>1895.66</v>
      </c>
      <c r="F37" s="30" t="s">
        <v>3748</v>
      </c>
      <c r="H37" s="35">
        <f>'HIS19'!KQ22</f>
        <v>2121.2199999999998</v>
      </c>
      <c r="J37" s="30" t="s">
        <v>3748</v>
      </c>
      <c r="L37" s="35">
        <f>'HIS19'!KQ23</f>
        <v>2597.87</v>
      </c>
      <c r="N37" s="30" t="s">
        <v>3748</v>
      </c>
      <c r="P37" s="35">
        <f>'HIS19'!KQ24</f>
        <v>2650.71</v>
      </c>
      <c r="R37" s="30" t="s">
        <v>3748</v>
      </c>
      <c r="T37" s="35">
        <v>292</v>
      </c>
      <c r="U37" s="35"/>
      <c r="V37" s="30" t="s">
        <v>3748</v>
      </c>
      <c r="X37" s="31">
        <v>767</v>
      </c>
      <c r="Z37" s="30" t="s">
        <v>3748</v>
      </c>
      <c r="AB37" s="31">
        <v>1083</v>
      </c>
      <c r="AD37" s="30" t="s">
        <v>3748</v>
      </c>
      <c r="AF37" s="38">
        <f>132.45</f>
        <v>132.44999999999999</v>
      </c>
      <c r="AH37" s="30" t="s">
        <v>3748</v>
      </c>
      <c r="AJ37" s="38">
        <f>118.69</f>
        <v>118.69</v>
      </c>
      <c r="AL37" s="30" t="s">
        <v>3748</v>
      </c>
      <c r="AN37" s="38">
        <f>7.91+284.46</f>
        <v>292.37</v>
      </c>
      <c r="AO37" s="38"/>
      <c r="AP37" s="30" t="s">
        <v>3748</v>
      </c>
      <c r="AR37" s="38">
        <v>558.57000000000005</v>
      </c>
      <c r="AT37" s="30" t="s">
        <v>3748</v>
      </c>
      <c r="AV37" s="40">
        <v>741.19</v>
      </c>
    </row>
    <row r="38" spans="2:48">
      <c r="B38" s="30" t="s">
        <v>3749</v>
      </c>
      <c r="D38" s="35">
        <f>D37-D36</f>
        <v>-5.2876712328497888E-2</v>
      </c>
      <c r="F38" s="30" t="s">
        <v>3749</v>
      </c>
      <c r="H38" s="35">
        <f>H37-H36</f>
        <v>0.17890410958898428</v>
      </c>
      <c r="J38" s="30" t="s">
        <v>3749</v>
      </c>
      <c r="L38" s="35">
        <f>L37-L36</f>
        <v>6.1780821918091533E-2</v>
      </c>
      <c r="N38" s="30" t="s">
        <v>3749</v>
      </c>
      <c r="P38" s="35">
        <f>P37-P36</f>
        <v>-1.8767123287489085E-2</v>
      </c>
      <c r="R38" s="30" t="s">
        <v>3749</v>
      </c>
      <c r="T38" s="35">
        <v>-0.29999999999995502</v>
      </c>
      <c r="U38" s="35"/>
      <c r="V38" s="30" t="s">
        <v>3749</v>
      </c>
      <c r="X38" s="31">
        <f>X37-X36</f>
        <v>-2.2958904109592595</v>
      </c>
      <c r="Z38" s="30" t="s">
        <v>3749</v>
      </c>
      <c r="AB38" s="31">
        <f>AB37-AB36</f>
        <v>-2.661095890411616</v>
      </c>
      <c r="AD38" s="30" t="s">
        <v>3749</v>
      </c>
      <c r="AF38" s="31">
        <f>AF37-AF36</f>
        <v>-0.64219178082194617</v>
      </c>
      <c r="AH38" s="30" t="s">
        <v>3749</v>
      </c>
      <c r="AJ38" s="31">
        <f>AJ37-AJ36</f>
        <v>-0.68945205479450067</v>
      </c>
      <c r="AL38" s="30" t="s">
        <v>3749</v>
      </c>
      <c r="AN38" s="31">
        <f>AN37-AN36</f>
        <v>6.8357534246576392</v>
      </c>
      <c r="AO38" s="31"/>
      <c r="AP38" s="30" t="s">
        <v>3749</v>
      </c>
      <c r="AR38" s="31">
        <f>AR37-AR36</f>
        <v>-1.2601369863012906</v>
      </c>
      <c r="AT38" s="30" t="s">
        <v>3749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3750</v>
      </c>
      <c r="C2" s="17"/>
      <c r="D2" s="16" t="s">
        <v>3751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3752</v>
      </c>
      <c r="I4" s="22" t="s">
        <v>3753</v>
      </c>
      <c r="J4" s="22" t="s">
        <v>3754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3755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3757</v>
      </c>
      <c r="I29" s="15" t="s">
        <v>3758</v>
      </c>
      <c r="J29" s="15" t="s">
        <v>3759</v>
      </c>
      <c r="K29" s="15" t="s">
        <v>3760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3761</v>
      </c>
      <c r="I32" s="15" t="s">
        <v>3761</v>
      </c>
      <c r="J32" s="15" t="s">
        <v>3761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7">
        <f>SUMPRODUCT(D3:D33,E3:E33)/365</f>
        <v>32.909589041095877</v>
      </c>
      <c r="E35" s="657"/>
      <c r="F35" s="27"/>
    </row>
    <row r="36" spans="2:11">
      <c r="B36" s="17" t="s">
        <v>3763</v>
      </c>
      <c r="D36" s="657" t="s">
        <v>3764</v>
      </c>
      <c r="E36" s="657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3765</v>
      </c>
      <c r="C2" s="3" t="s">
        <v>1677</v>
      </c>
      <c r="D2" s="2" t="s">
        <v>3766</v>
      </c>
      <c r="E2" s="4" t="s">
        <v>3767</v>
      </c>
      <c r="F2" s="4"/>
      <c r="G2" s="4" t="s">
        <v>3768</v>
      </c>
      <c r="H2" s="3" t="s">
        <v>513</v>
      </c>
      <c r="I2" s="14" t="s">
        <v>3769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3770</v>
      </c>
      <c r="G6" s="5">
        <f>SUM(B6:E6)</f>
        <v>112225.48</v>
      </c>
      <c r="H6" s="7">
        <v>44195</v>
      </c>
      <c r="I6" s="9" t="s">
        <v>3771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3770</v>
      </c>
      <c r="G12" s="5">
        <f t="shared" si="1"/>
        <v>109175.48</v>
      </c>
      <c r="H12" s="7">
        <v>44701</v>
      </c>
      <c r="I12" s="9" t="s">
        <v>3773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3770</v>
      </c>
      <c r="G13" s="5">
        <f t="shared" si="1"/>
        <v>110985.48</v>
      </c>
      <c r="H13" s="7">
        <v>44727</v>
      </c>
      <c r="I13" s="9" t="s">
        <v>3774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3770</v>
      </c>
      <c r="G14" s="5">
        <f t="shared" si="1"/>
        <v>106859.48</v>
      </c>
      <c r="H14" s="7">
        <v>44788</v>
      </c>
      <c r="I14" s="9" t="s">
        <v>3775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3770</v>
      </c>
      <c r="G17" s="5">
        <f t="shared" si="2"/>
        <v>99359.48</v>
      </c>
      <c r="H17" s="7">
        <v>44910</v>
      </c>
      <c r="I17" s="9" t="s">
        <v>3775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3770</v>
      </c>
      <c r="G19" s="5">
        <f t="shared" si="2"/>
        <v>101108.48</v>
      </c>
      <c r="H19" s="7">
        <v>45092</v>
      </c>
      <c r="I19" s="9" t="s">
        <v>3776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3770</v>
      </c>
      <c r="G20" s="5">
        <f t="shared" si="2"/>
        <v>105108.48</v>
      </c>
      <c r="H20" s="7">
        <v>45127</v>
      </c>
      <c r="I20" s="9" t="s">
        <v>3777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3770</v>
      </c>
      <c r="G21" s="5">
        <f t="shared" ref="G21" si="3">SUM(B21:E21)</f>
        <v>105108.48</v>
      </c>
      <c r="H21" s="7">
        <v>45285</v>
      </c>
      <c r="I21" s="9" t="s">
        <v>3778</v>
      </c>
    </row>
    <row r="22" spans="2:9">
      <c r="B22" s="5"/>
      <c r="C22" s="9" t="s">
        <v>3779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3770</v>
      </c>
      <c r="G23" s="5">
        <f t="shared" ref="G23" si="4">SUM(B23:E23)</f>
        <v>110108.48</v>
      </c>
      <c r="H23" s="7">
        <v>45350</v>
      </c>
      <c r="I23" s="9" t="s">
        <v>3780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3770</v>
      </c>
      <c r="G24" s="5">
        <f t="shared" ref="G24" si="5">SUM(B24:E24)</f>
        <v>115005.48</v>
      </c>
      <c r="H24" s="7">
        <v>45473</v>
      </c>
      <c r="I24" s="9" t="s">
        <v>3781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3770</v>
      </c>
      <c r="G25" s="5">
        <f t="shared" ref="G25" si="6">SUM(B25:E25)</f>
        <v>122108.48</v>
      </c>
      <c r="H25" s="7">
        <v>45569</v>
      </c>
      <c r="I25" s="9" t="s">
        <v>3782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2025-02-21T15:21:46Z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