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D8734C1A-821D-4087-BB2E-9FF5DF70A3D5}" xr6:coauthVersionLast="38" xr6:coauthVersionMax="38" xr10:uidLastSave="{00000000-0000-0000-0000-000000000000}"/>
  <bookViews>
    <workbookView xWindow="6372" yWindow="3432" windowWidth="21240" windowHeight="11832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+SC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79021"/>
</workbook>
</file>

<file path=xl/calcChain.xml><?xml version="1.0" encoding="utf-8"?>
<calcChain xmlns="http://schemas.openxmlformats.org/spreadsheetml/2006/main">
  <c r="KG19" i="32" l="1"/>
  <c r="F4" i="47" l="1"/>
  <c r="C6" i="47" l="1"/>
  <c r="F6" i="47" s="1"/>
  <c r="I8" i="47" s="1"/>
  <c r="D18" i="47" l="1"/>
  <c r="F20" i="47"/>
  <c r="F13" i="47" l="1"/>
  <c r="I10" i="47" l="1"/>
  <c r="E8" i="42" l="1"/>
  <c r="KG22" i="32" l="1"/>
  <c r="KE24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D14" i="47" l="1"/>
  <c r="D17" i="47" s="1"/>
  <c r="F17" i="47" s="1"/>
  <c r="D9" i="47" l="1"/>
  <c r="C8" i="47"/>
  <c r="C11" i="47" s="1"/>
  <c r="KE25" i="32"/>
  <c r="B10" i="47" l="1"/>
  <c r="F11" i="47"/>
  <c r="I13" i="47" l="1"/>
  <c r="I17" i="47"/>
  <c r="KE35" i="32"/>
  <c r="KE31" i="32" l="1"/>
  <c r="KI3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E34" i="32" l="1"/>
  <c r="KI2" i="32"/>
  <c r="KC5" i="32"/>
  <c r="KC4" i="32"/>
  <c r="KE9" i="32" s="1"/>
  <c r="KC2" i="32" l="1"/>
  <c r="KE13" i="32" l="1"/>
  <c r="KE2" i="32" s="1"/>
  <c r="E3" i="42" l="1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6" i="32"/>
  <c r="KG5" i="32" s="1"/>
  <c r="KE30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  <c r="I11" i="47" l="1"/>
  <c r="I7" i="47"/>
  <c r="I18" i="47"/>
  <c r="I14" i="47"/>
  <c r="I20" i="4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2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<sst xmlns="http://schemas.openxmlformats.org/spreadsheetml/2006/main" count="7493" uniqueCount="3084">
  <si>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</si>
  <si>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</si>
  <si>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</si>
  <si>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</si>
  <si>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</si>
  <si>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</si>
  <si>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</si>
  <si>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</si>
  <si>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</si>
  <si>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</si>
  <si>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</si>
  <si>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</si>
  <si>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</si>
  <si>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</si>
  <si>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</si>
  <si>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</si>
  <si>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</si>
  <si>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</si>
  <si>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</si>
  <si>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</si>
  <si>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</si>
  <si>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</si>
  <si>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</si>
  <si>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</si>
  <si>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</si>
  <si>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</si>
  <si>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</si>
  <si>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</si>
  <si>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</si>
  <si>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</si>
  <si>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</si>
  <si>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</si>
  <si>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</si>
  <si>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</si>
  <si>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</si>
  <si>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</si>
  <si>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</si>
  <si>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</si>
  <si>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</si>
  <si>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</si>
  <si>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</si>
  <si>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</si>
  <si>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</si>
  <si>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</si>
  <si>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</si>
  <si>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</si>
  <si>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</si>
  <si>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</si>
  <si>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</si>
  <si>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</si>
  <si>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</si>
  <si>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</si>
  <si>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</si>
  <si>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</si>
  <si>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</si>
  <si>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</si>
  <si>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</si>
  <si>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</si>
  <si>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</si>
  <si>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</si>
  <si>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</si>
  <si>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</si>
  <si>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</si>
  <si>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</si>
  <si>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</si>
  <si>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</si>
  <si>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</si>
  <si>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</si>
  <si>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</si>
  <si>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</si>
  <si>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</si>
  <si>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</si>
  <si>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</si>
  <si>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</si>
  <si>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</si>
  <si>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</si>
  <si>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</si>
  <si>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</si>
  <si>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</si>
  <si>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</si>
  <si>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</si>
  <si>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</si>
  <si>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</si>
  <si>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</si>
  <si>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</si>
  <si>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</si>
  <si>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</si>
  <si>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</si>
  <si>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</si>
  <si>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</si>
  <si>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</si>
  <si>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</si>
  <si>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</si>
  <si>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</si>
  <si>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</si>
  <si>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</si>
  <si>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</si>
  <si>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</si>
  <si>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</si>
  <si>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</si>
  <si>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</si>
  <si>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</si>
  <si>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</si>
  <si>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</si>
  <si>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</si>
  <si>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</si>
  <si>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</si>
  <si>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</si>
  <si>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</si>
  <si>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</si>
  <si>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</si>
  <si>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</si>
  <si>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</si>
  <si>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</si>
  <si>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</si>
  <si>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</si>
  <si>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</si>
  <si>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</si>
  <si>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</si>
  <si>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</si>
  <si>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</si>
  <si>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</si>
  <si>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</si>
  <si>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</si>
  <si>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</si>
  <si>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</si>
  <si>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</si>
  <si>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</si>
  <si>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</si>
  <si>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</si>
  <si>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</si>
  <si>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</si>
  <si>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</si>
  <si>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</si>
  <si>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</si>
  <si>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</si>
  <si>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</si>
  <si>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</si>
  <si>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</si>
  <si>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</si>
  <si>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</si>
  <si>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</si>
  <si>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</si>
  <si>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</si>
  <si>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</si>
  <si>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</si>
  <si>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</si>
  <si>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</si>
  <si>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</si>
  <si>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</si>
  <si>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</si>
  <si>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</si>
  <si>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</si>
  <si>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</si>
  <si>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</si>
  <si>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</si>
  <si>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</si>
  <si>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</si>
  <si>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</si>
  <si>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</si>
  <si>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</si>
  <si>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</si>
  <si>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</si>
  <si>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</si>
  <si>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</si>
  <si>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</si>
  <si>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</si>
  <si>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</si>
  <si>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</si>
  <si>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</si>
  <si>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</si>
  <si>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</si>
  <si>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</si>
  <si>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</si>
  <si>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</si>
  <si>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</si>
  <si>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</si>
  <si>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</si>
  <si>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</si>
  <si>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</si>
  <si>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</si>
  <si>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</si>
  <si>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</si>
  <si>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</si>
  <si>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</si>
  <si>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</si>
  <si>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</si>
  <si>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</si>
  <si>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</si>
  <si>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</si>
  <si>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</si>
  <si>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</si>
  <si>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</si>
  <si>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</si>
  <si>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</si>
  <si>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</si>
  <si>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</si>
  <si>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</si>
  <si>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</si>
  <si>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</si>
  <si>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</si>
  <si>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</si>
  <si>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</si>
  <si>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</si>
  <si>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</si>
  <si>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</si>
  <si>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</si>
  <si>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</si>
  <si>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</si>
  <si>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</si>
  <si>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</si>
  <si>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</si>
  <si>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</si>
  <si>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</si>
  <si>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</si>
  <si>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</si>
  <si>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</si>
  <si>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</si>
  <si>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</si>
  <si>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</si>
  <si>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</si>
  <si>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</si>
  <si>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</si>
  <si>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</si>
  <si>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</si>
  <si>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</si>
  <si>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</si>
  <si>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</si>
  <si>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</si>
  <si>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</si>
  <si>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</si>
  <si>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</si>
  <si>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</si>
  <si>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</si>
  <si>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</si>
  <si>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</si>
  <si>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</si>
  <si>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</si>
  <si>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</si>
  <si>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</si>
  <si>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</si>
  <si>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</si>
  <si>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</si>
  <si>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</si>
  <si>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</si>
  <si>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</si>
  <si>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</si>
  <si>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</si>
  <si>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</si>
  <si>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</si>
  <si>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</si>
  <si>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</si>
  <si>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</si>
  <si>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</si>
  <si>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</si>
  <si>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</si>
  <si>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</si>
  <si>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</si>
  <si>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</si>
  <si>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</si>
  <si>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</si>
  <si>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</si>
  <si>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</si>
  <si>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</si>
  <si>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</si>
  <si>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</si>
  <si>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</si>
  <si>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</si>
  <si>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</si>
  <si>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</si>
  <si>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</si>
  <si>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</si>
  <si>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</si>
  <si>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</si>
  <si>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</si>
  <si>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</si>
  <si>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</si>
  <si>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</si>
  <si>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</si>
  <si>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</si>
  <si>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</si>
  <si>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</si>
  <si>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</si>
  <si>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</si>
  <si>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</si>
  <si>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</si>
  <si>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</si>
  <si>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</si>
  <si>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</si>
  <si>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</si>
  <si>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</si>
  <si>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</si>
  <si>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</si>
  <si>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</si>
  <si>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</si>
  <si>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</si>
  <si>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</si>
  <si>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</si>
  <si>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</si>
  <si>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</si>
  <si>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</si>
  <si>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</si>
  <si>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</si>
  <si>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</si>
  <si>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</si>
  <si>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</si>
  <si>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</si>
  <si>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</si>
  <si>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</si>
  <si>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</si>
  <si>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</si>
  <si>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</si>
  <si>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</si>
  <si>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</si>
  <si>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</si>
  <si>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</si>
  <si>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</si>
  <si>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</si>
  <si>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</si>
  <si>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</si>
  <si>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</si>
  <si>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</si>
  <si>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</si>
  <si>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</si>
  <si>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</si>
  <si>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</si>
  <si>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</si>
  <si>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</si>
  <si>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</si>
  <si>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</si>
  <si>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</si>
  <si>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</si>
  <si>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</si>
  <si>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</si>
  <si>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</si>
  <si>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</si>
  <si>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</si>
  <si>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</si>
  <si>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</si>
  <si>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</si>
  <si>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</si>
  <si>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</si>
  <si>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</si>
  <si>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</si>
  <si>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</si>
  <si>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</si>
  <si>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</si>
  <si>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</si>
  <si>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</si>
  <si>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</si>
  <si>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</si>
  <si>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</si>
  <si>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</si>
  <si>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</si>
  <si>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</si>
  <si>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</si>
  <si>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</si>
  <si>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</si>
  <si>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</si>
  <si>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</si>
  <si>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</si>
  <si>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</si>
  <si>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</si>
  <si>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</si>
  <si>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</si>
  <si>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</si>
  <si>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</si>
  <si>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</si>
  <si>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</si>
  <si>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</si>
  <si>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</si>
  <si>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</si>
  <si>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</si>
  <si>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</si>
  <si>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</si>
  <si>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</si>
  <si>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</si>
  <si>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</si>
  <si>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</si>
  <si>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</si>
  <si>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</si>
  <si>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</si>
  <si>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</si>
  <si>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</si>
  <si>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</si>
  <si>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</si>
  <si>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</si>
  <si>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</si>
  <si>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</si>
  <si>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</si>
  <si>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</si>
  <si>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</si>
  <si>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</si>
  <si>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</si>
  <si>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</si>
  <si>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</si>
  <si>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</si>
  <si>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</si>
  <si>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</si>
  <si>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</si>
  <si>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</si>
  <si>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</si>
  <si>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</si>
  <si>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</si>
  <si>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</si>
  <si>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</si>
  <si>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</si>
  <si>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</si>
  <si>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</si>
  <si>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</si>
  <si>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</si>
  <si>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</si>
  <si>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</si>
  <si>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</si>
  <si>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</si>
  <si>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</si>
  <si>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</si>
  <si>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</si>
  <si>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</si>
  <si>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</si>
  <si>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</si>
  <si>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</si>
  <si>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</si>
  <si>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</si>
  <si>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</si>
  <si>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</si>
  <si>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</si>
  <si>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</si>
  <si>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</si>
  <si>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</si>
  <si>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</si>
  <si>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</si>
  <si>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</si>
  <si>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</si>
  <si>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</si>
  <si>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</si>
  <si>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</si>
  <si>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</si>
  <si>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</si>
  <si>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</si>
  <si>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</si>
  <si>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</si>
  <si>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</si>
  <si>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</si>
  <si>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</si>
  <si>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</si>
  <si>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</si>
  <si>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</si>
  <si>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</si>
  <si>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</si>
  <si>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</si>
  <si>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</si>
  <si>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</si>
  <si>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</si>
  <si>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</si>
  <si>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</si>
  <si>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</si>
  <si>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</si>
  <si>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</si>
  <si>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</si>
  <si>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</si>
  <si>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</si>
  <si>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</si>
  <si>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</si>
  <si>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</si>
  <si>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</si>
  <si>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</si>
  <si>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</si>
  <si>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</si>
  <si>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</si>
  <si>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</si>
  <si>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</si>
  <si>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</si>
  <si>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</si>
  <si>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</si>
  <si>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</si>
  <si>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</si>
  <si>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</si>
  <si>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</si>
  <si>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</si>
  <si>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</si>
  <si>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</si>
  <si>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</si>
  <si>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</si>
  <si>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</si>
  <si>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</si>
  <si>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</si>
  <si>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</si>
  <si>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</si>
  <si>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</si>
  <si>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</si>
  <si>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</si>
  <si>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</si>
  <si>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</si>
  <si>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</si>
  <si>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</si>
  <si>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</si>
  <si>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</si>
  <si>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</si>
  <si>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</si>
  <si>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</si>
  <si>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</si>
  <si>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</si>
  <si>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</si>
  <si>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</si>
  <si>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</si>
  <si>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</si>
  <si>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</si>
  <si>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</si>
  <si>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</si>
  <si>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</si>
  <si>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</si>
  <si>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</si>
  <si>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</si>
  <si>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</si>
  <si>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</si>
  <si>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</si>
  <si>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</si>
  <si>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</si>
  <si>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</si>
  <si>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</si>
  <si>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</si>
  <si>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</si>
  <si>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</si>
  <si>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</si>
  <si>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</si>
  <si>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</si>
  <si>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</si>
  <si>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</si>
  <si>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</si>
  <si>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</si>
  <si>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</si>
  <si>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</si>
  <si>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</si>
  <si>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</si>
  <si>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</si>
  <si>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</si>
  <si>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</si>
  <si>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</si>
  <si>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</si>
  <si>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</si>
  <si>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</si>
  <si>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</si>
  <si>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</si>
  <si>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</si>
  <si>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</si>
  <si>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</si>
  <si>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</si>
  <si>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</si>
  <si>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</si>
  <si>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</si>
  <si>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</si>
  <si>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</si>
  <si>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</si>
  <si>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</si>
  <si>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</si>
  <si>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</si>
  <si>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</si>
  <si>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</si>
  <si>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</si>
  <si>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</si>
  <si>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</si>
  <si>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</si>
  <si>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</si>
  <si>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</si>
  <si>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</si>
  <si>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</si>
  <si>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</si>
  <si>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</si>
  <si>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</si>
  <si>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</si>
  <si>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</si>
  <si>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</si>
  <si>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</si>
  <si>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</si>
  <si>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</si>
  <si>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</si>
  <si>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</si>
  <si>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</si>
  <si>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</si>
  <si>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</si>
  <si>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</si>
  <si>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</si>
  <si>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</si>
  <si>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</si>
  <si>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</si>
  <si>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</si>
  <si>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</si>
  <si>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</si>
  <si>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</si>
  <si>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</si>
  <si>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</si>
  <si>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</si>
  <si>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</si>
  <si>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</si>
  <si>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</si>
  <si>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</si>
  <si>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</si>
  <si>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</si>
  <si>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</si>
  <si>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</si>
  <si>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</si>
  <si>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</si>
  <si>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</si>
  <si>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</si>
  <si>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</si>
  <si>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</si>
  <si>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</si>
  <si>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</si>
  <si>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</si>
  <si>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</si>
  <si>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</si>
  <si>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</si>
  <si>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</si>
  <si>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</si>
  <si>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</si>
  <si>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</si>
  <si>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</si>
  <si>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</si>
  <si>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</si>
  <si>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</si>
  <si>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</si>
  <si>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</si>
  <si>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</si>
  <si>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</si>
  <si>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</si>
  <si>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</si>
  <si>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</si>
  <si>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</si>
  <si>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</si>
  <si>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</si>
  <si>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</si>
  <si>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</si>
  <si>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</si>
  <si>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</si>
  <si>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</si>
  <si>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</si>
  <si>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</si>
  <si>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</si>
  <si>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</si>
  <si>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</si>
  <si>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</si>
  <si>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</si>
  <si>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</si>
  <si>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</si>
  <si>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</si>
  <si>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</si>
  <si>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</si>
  <si>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</si>
  <si>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</si>
  <si>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</si>
  <si>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</si>
  <si>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</si>
  <si>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</si>
  <si>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</si>
  <si>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</si>
  <si>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</si>
  <si>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</si>
  <si>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</si>
  <si>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</si>
  <si>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</si>
  <si>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</si>
  <si>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</si>
  <si>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</si>
  <si>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</si>
  <si>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</si>
  <si>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</si>
  <si>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</si>
  <si>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</si>
  <si>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</si>
  <si>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</si>
  <si>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</si>
  <si>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</si>
  <si>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</si>
  <si>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</si>
  <si>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</si>
  <si>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</si>
  <si>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</si>
  <si>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</si>
  <si>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</si>
  <si>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</si>
  <si>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</si>
  <si>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</si>
  <si>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</si>
  <si>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</si>
  <si>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</si>
  <si>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</si>
  <si>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</si>
  <si>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</si>
  <si>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</si>
  <si>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</si>
  <si>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</si>
  <si>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</si>
  <si>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</si>
  <si>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</si>
  <si>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</si>
  <si>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</si>
  <si>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</si>
  <si>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</si>
  <si>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</si>
  <si>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</si>
  <si>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</si>
  <si>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</si>
  <si>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</si>
  <si>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</si>
  <si>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</si>
  <si>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</si>
  <si>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</si>
  <si>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</si>
  <si>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</si>
  <si>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</si>
  <si>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</si>
  <si>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</si>
  <si>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</si>
  <si>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</si>
  <si>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</si>
  <si>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</si>
  <si>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</si>
  <si>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</si>
  <si>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</si>
  <si>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</si>
  <si>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</si>
  <si>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</si>
  <si>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</si>
  <si>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</si>
  <si>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</si>
  <si>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</si>
  <si>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</si>
  <si>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</si>
  <si>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</si>
  <si>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</si>
  <si>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</si>
  <si>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</si>
  <si>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</si>
  <si>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</si>
  <si>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</si>
  <si>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</si>
  <si>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</si>
  <si>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</si>
  <si>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</si>
  <si>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</si>
  <si>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</si>
  <si>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</si>
  <si>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</si>
  <si>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</si>
  <si>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</si>
  <si>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</si>
  <si>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</si>
  <si>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</si>
  <si>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</si>
  <si>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</si>
  <si>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</si>
  <si>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</si>
  <si>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</si>
  <si>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</si>
  <si>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</si>
  <si>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</si>
  <si>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</si>
  <si>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</si>
  <si>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</si>
  <si>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</si>
  <si>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</si>
  <si>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</si>
  <si>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</si>
  <si>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</si>
  <si>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</si>
  <si>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</si>
  <si>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</si>
  <si>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</si>
  <si>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</si>
  <si>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</si>
  <si>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</si>
  <si>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</si>
  <si>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</si>
  <si>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</si>
  <si>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</si>
  <si>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</si>
  <si>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</si>
  <si>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</si>
  <si>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</si>
  <si>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</si>
  <si>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</si>
  <si>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</si>
  <si>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</si>
  <si>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</si>
  <si>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</si>
  <si>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</si>
  <si>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</si>
  <si>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</si>
  <si>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</si>
  <si>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</si>
  <si>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</si>
  <si>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</si>
  <si>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</si>
  <si>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</si>
  <si>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</si>
  <si>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</si>
  <si>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</si>
  <si>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</si>
  <si>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</si>
  <si>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</si>
  <si>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</si>
  <si>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</si>
  <si>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</si>
  <si>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</si>
  <si>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</si>
  <si>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</si>
  <si>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</si>
  <si>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</si>
  <si>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</si>
  <si>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</si>
  <si>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</si>
  <si>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</si>
  <si>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</si>
  <si>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</si>
  <si>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</si>
  <si>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</si>
  <si>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</si>
  <si>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</si>
  <si>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</si>
  <si>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</si>
  <si>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</si>
  <si>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</si>
  <si>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</si>
  <si>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</si>
  <si>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</si>
  <si>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</si>
  <si>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</si>
  <si>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</si>
  <si>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</si>
  <si>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</si>
  <si>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</si>
  <si>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</si>
  <si>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</si>
  <si>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</si>
  <si>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</si>
  <si>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</si>
  <si>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</si>
  <si>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</si>
  <si>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</si>
  <si>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</si>
  <si>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</si>
  <si>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</si>
  <si>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</si>
  <si>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</si>
  <si>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</si>
  <si>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</si>
  <si>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</si>
  <si>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</si>
  <si>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</si>
  <si>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</si>
  <si>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</si>
  <si>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</si>
  <si>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</si>
  <si>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</si>
  <si>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</si>
  <si>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</si>
  <si>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</si>
  <si>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</si>
  <si>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</si>
  <si>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</si>
  <si>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</si>
  <si>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</si>
  <si>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</si>
  <si>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</si>
  <si>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</si>
  <si>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</si>
  <si>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</si>
  <si>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</si>
  <si>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</si>
  <si>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</si>
  <si>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</si>
  <si>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</si>
  <si>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</si>
  <si>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</si>
  <si>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</si>
  <si>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</si>
  <si>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</si>
  <si>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</si>
  <si>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</si>
  <si>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</si>
  <si>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</si>
  <si>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</si>
  <si>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</si>
  <si>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</si>
  <si>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</si>
  <si>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</si>
  <si>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</si>
  <si>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</si>
  <si>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</si>
  <si>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</si>
  <si>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</si>
  <si>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</si>
  <si>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</si>
  <si>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</si>
  <si>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</si>
  <si>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</si>
  <si>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</si>
  <si>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</si>
  <si>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</si>
  <si>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</si>
  <si>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</si>
  <si>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</si>
  <si>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</si>
  <si>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</si>
  <si>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</si>
  <si>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</si>
  <si>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</si>
  <si>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</si>
  <si>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</si>
  <si>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</si>
  <si>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</si>
  <si>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</si>
  <si>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</si>
  <si>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</si>
  <si>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</si>
  <si>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</si>
  <si>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</si>
  <si>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</si>
  <si>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</si>
  <si>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</si>
  <si>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</si>
  <si>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</si>
  <si>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</si>
  <si>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</si>
  <si>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</si>
  <si>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</si>
  <si>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</si>
  <si>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</si>
  <si>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</si>
  <si>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</si>
  <si>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</si>
  <si>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</si>
  <si>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</si>
  <si>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</si>
  <si>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</si>
  <si>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</si>
  <si>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</si>
  <si>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</si>
  <si>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</si>
  <si>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</si>
  <si>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</si>
  <si>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</si>
  <si>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</si>
  <si>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</si>
  <si>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</si>
  <si>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</si>
  <si>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</si>
  <si>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</si>
  <si>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</si>
  <si>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</si>
  <si>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</si>
  <si>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</si>
  <si>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</si>
  <si>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</si>
  <si>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</si>
  <si>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</si>
  <si>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</si>
  <si>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</si>
  <si>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</si>
  <si>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</si>
  <si>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</si>
  <si>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</si>
  <si>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</si>
  <si>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</si>
  <si>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</si>
  <si>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</si>
  <si>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</si>
  <si>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</si>
  <si>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</si>
  <si>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</si>
  <si>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</si>
  <si>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</si>
  <si>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</si>
  <si>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</si>
  <si>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</si>
  <si>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</si>
  <si>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</si>
  <si>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</si>
  <si>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</si>
  <si>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</si>
  <si>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</si>
  <si>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</si>
  <si>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</si>
  <si>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</si>
  <si>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</si>
  <si>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</si>
  <si>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</si>
  <si>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</si>
  <si>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</si>
  <si>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</si>
  <si>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</si>
  <si>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</si>
  <si>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</si>
  <si>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</si>
  <si>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</si>
  <si>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</si>
  <si>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</si>
  <si>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</si>
  <si>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</si>
  <si>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</si>
  <si>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</si>
  <si>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</si>
  <si>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</si>
  <si>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</si>
  <si>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</si>
  <si>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</si>
  <si>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</si>
  <si>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</si>
  <si>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</si>
  <si>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</si>
  <si>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</si>
  <si>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</si>
  <si>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</si>
  <si>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</si>
  <si>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</si>
  <si>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</si>
  <si>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</si>
  <si>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</si>
  <si>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</si>
  <si>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</si>
  <si>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</si>
  <si>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</si>
  <si>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</si>
  <si>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</si>
  <si>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</si>
  <si>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</si>
  <si>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</si>
  <si>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</si>
  <si>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</si>
  <si>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</si>
  <si>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</si>
  <si>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</si>
  <si>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</si>
  <si>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</si>
  <si>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</si>
  <si>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</si>
  <si>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</si>
  <si>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</si>
  <si>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</si>
  <si>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</si>
  <si>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</si>
  <si>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</si>
  <si>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</si>
  <si>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</si>
  <si>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</si>
  <si>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</si>
  <si>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</si>
  <si>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</si>
  <si>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</si>
  <si>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</si>
  <si>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</si>
  <si>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</si>
  <si>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</si>
  <si>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</si>
  <si>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</si>
  <si>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</si>
  <si>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</si>
  <si>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</si>
  <si>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</si>
  <si>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</si>
  <si>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</si>
  <si>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</si>
  <si>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</si>
  <si>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</si>
  <si>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</si>
  <si>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</si>
  <si>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</si>
  <si>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</si>
  <si>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</si>
  <si>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</si>
  <si>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</si>
  <si>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</si>
  <si>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</si>
  <si>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</si>
  <si>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</si>
  <si>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</si>
  <si>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</si>
  <si>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</si>
  <si>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</si>
  <si>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</si>
  <si>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</si>
  <si>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</si>
  <si>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</si>
  <si>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</si>
  <si>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</si>
  <si>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</si>
  <si>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</si>
  <si>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</si>
  <si>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</si>
  <si>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</si>
  <si>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</si>
  <si>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</si>
  <si>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</si>
  <si>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</si>
  <si>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</si>
  <si>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</si>
  <si>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</si>
  <si>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</si>
  <si>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</si>
  <si>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</si>
  <si>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</si>
  <si>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</si>
  <si>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</si>
  <si>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</si>
  <si>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</si>
  <si>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</si>
  <si>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</si>
  <si>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</si>
  <si>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</si>
  <si>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</si>
  <si>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</si>
  <si>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</si>
  <si>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</si>
  <si>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</si>
  <si>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</si>
  <si>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</si>
  <si>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</si>
  <si>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</si>
  <si>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</si>
  <si>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</si>
  <si>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</si>
  <si>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</si>
  <si>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</si>
  <si>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</si>
  <si>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</si>
  <si>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</si>
  <si>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</si>
  <si>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</si>
  <si>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</si>
  <si>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</si>
  <si>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</si>
  <si>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</si>
  <si>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</si>
  <si>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</si>
  <si>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</si>
  <si>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</si>
  <si>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</si>
  <si>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</si>
  <si>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</si>
  <si>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</si>
  <si>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</si>
  <si>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</si>
  <si>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</si>
  <si>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</si>
  <si>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</si>
  <si>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</si>
  <si>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</si>
  <si>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</si>
  <si>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</si>
  <si>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</si>
  <si>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</si>
  <si>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</si>
  <si>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</si>
  <si>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</si>
  <si>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</si>
  <si>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</si>
  <si>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</si>
  <si>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</si>
  <si>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</si>
  <si>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</si>
  <si>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</si>
  <si>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</si>
  <si>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</si>
  <si>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</si>
  <si>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</si>
  <si>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</si>
  <si>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</si>
  <si>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</si>
  <si>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</si>
  <si>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</si>
  <si>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</si>
  <si>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</si>
  <si>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</si>
  <si>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</si>
  <si>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</si>
  <si>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</si>
  <si>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</si>
  <si>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</si>
  <si>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</si>
  <si>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</si>
  <si>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</si>
  <si>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</si>
  <si>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</si>
  <si>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</si>
  <si>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</si>
  <si>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</si>
  <si>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</si>
  <si>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</si>
  <si>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</si>
  <si>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</si>
  <si>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</si>
  <si>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</si>
  <si>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</si>
  <si>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</si>
  <si>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</si>
  <si>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</si>
  <si>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</si>
  <si>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</si>
  <si>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</si>
  <si>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</si>
  <si>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</si>
  <si>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</si>
  <si>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</si>
  <si>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</si>
  <si>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</si>
  <si>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</si>
  <si>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</si>
  <si>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</si>
  <si>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</si>
  <si>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</si>
  <si>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</si>
  <si>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</si>
  <si>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</si>
  <si>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</si>
  <si>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</si>
  <si>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</si>
  <si>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</si>
  <si>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</si>
  <si>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</si>
  <si>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</si>
  <si>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</si>
  <si>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</si>
  <si>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</si>
  <si>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</si>
  <si>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</si>
  <si>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</si>
  <si>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</si>
  <si>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</si>
  <si>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</si>
  <si>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</si>
  <si>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</si>
  <si>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</si>
  <si>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</si>
  <si>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</si>
  <si>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</si>
  <si>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</si>
  <si>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</si>
  <si>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</si>
  <si>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</si>
  <si>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</si>
  <si>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</si>
  <si>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</si>
  <si>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</si>
  <si>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</si>
  <si>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</si>
  <si>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</si>
  <si>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</si>
  <si>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</si>
  <si>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</si>
  <si>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</si>
  <si>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</si>
  <si>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</si>
  <si>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</si>
  <si>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</si>
  <si>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</si>
  <si>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</si>
  <si>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</si>
  <si>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</si>
  <si>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</si>
  <si>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</si>
  <si>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</si>
  <si>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</si>
  <si>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</si>
  <si>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</si>
  <si>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</si>
  <si>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</si>
  <si>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</si>
  <si>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</si>
  <si>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</si>
  <si>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</si>
  <si>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</si>
  <si>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</si>
  <si>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</si>
  <si>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</si>
  <si>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</si>
  <si>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</si>
  <si>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</si>
  <si>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</si>
  <si>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</si>
  <si>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</si>
  <si>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</si>
  <si>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</si>
  <si>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</si>
  <si>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</si>
  <si>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</si>
  <si>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</si>
  <si>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</si>
  <si>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</si>
  <si>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</si>
  <si>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</si>
  <si>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</si>
  <si>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</si>
  <si>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</si>
  <si>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</si>
  <si>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</si>
  <si>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</si>
  <si>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</si>
  <si>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</si>
  <si>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</si>
  <si>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</si>
  <si>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</si>
  <si>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</si>
  <si>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</si>
  <si>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</si>
  <si>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</si>
  <si>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</si>
  <si>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</si>
  <si>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</si>
  <si>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</si>
  <si>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</si>
  <si>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</si>
  <si>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</si>
  <si>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</si>
  <si>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</si>
  <si>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</si>
  <si>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</si>
  <si>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</si>
  <si>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</si>
  <si>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</si>
  <si>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</si>
  <si>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</si>
  <si>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</si>
  <si>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</si>
  <si>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</si>
  <si>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</si>
  <si>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</si>
  <si>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</si>
  <si>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</si>
  <si>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</si>
  <si>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</si>
  <si>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</si>
  <si>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</si>
  <si>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</si>
  <si>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</si>
  <si>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</si>
  <si>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</si>
  <si>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</si>
  <si>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</si>
  <si>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</si>
  <si>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</si>
  <si>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</si>
  <si>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</si>
  <si>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</si>
  <si>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</si>
  <si>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</si>
  <si>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</si>
  <si>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</si>
  <si>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</si>
  <si>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</si>
  <si>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</si>
  <si>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</si>
  <si>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</si>
  <si>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</si>
  <si>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</si>
  <si>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</si>
  <si>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</si>
  <si>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</si>
  <si>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</si>
  <si>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</si>
  <si>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</si>
  <si>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</si>
  <si>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</si>
  <si>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</si>
  <si>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</si>
  <si>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</si>
  <si>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</si>
  <si>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</si>
  <si>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</si>
  <si>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</si>
  <si>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</si>
  <si>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</si>
  <si>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</si>
  <si>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</si>
  <si>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</si>
  <si>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</si>
  <si>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</si>
  <si>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</si>
  <si>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</si>
  <si>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</si>
  <si>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</si>
  <si>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</si>
  <si>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</si>
  <si>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</si>
  <si>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</si>
  <si>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</si>
  <si>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</si>
  <si>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</si>
  <si>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</si>
  <si>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</si>
  <si>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</si>
  <si>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</si>
  <si>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</si>
  <si>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</si>
  <si>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</si>
  <si>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</si>
  <si>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</si>
  <si>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</si>
  <si>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</si>
  <si>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</si>
  <si>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</si>
  <si>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</si>
  <si>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</si>
  <si>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</si>
  <si>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</si>
  <si>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</si>
  <si>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</si>
  <si>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</si>
  <si>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</si>
  <si>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</si>
  <si>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</si>
  <si>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</si>
  <si>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</si>
  <si>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</si>
  <si>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</si>
  <si>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</si>
  <si>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</si>
  <si>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</si>
  <si>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</si>
  <si>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</si>
  <si>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</si>
  <si>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</si>
  <si>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</si>
  <si>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</si>
  <si>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</si>
  <si>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</si>
  <si>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</si>
  <si>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</si>
  <si>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</si>
  <si>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</si>
  <si>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</si>
  <si>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</si>
  <si>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</si>
  <si>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</si>
  <si>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</si>
  <si>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</si>
  <si>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</si>
  <si>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</si>
  <si>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</si>
  <si>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</si>
  <si>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</si>
  <si>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</si>
  <si>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</si>
  <si>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</si>
  <si>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</si>
  <si>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</si>
  <si>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</si>
  <si>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</si>
  <si>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</si>
  <si>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</si>
  <si>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</si>
  <si>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</si>
  <si>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</si>
  <si>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</si>
  <si>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</si>
  <si>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</si>
  <si>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</si>
  <si>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</si>
  <si>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</si>
  <si>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</si>
  <si>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</si>
  <si>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</si>
  <si>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</si>
  <si>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</si>
  <si>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</si>
  <si>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</si>
  <si>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</si>
  <si>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</si>
  <si>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</si>
  <si>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</si>
  <si>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</si>
  <si>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</si>
  <si>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</si>
  <si>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</si>
  <si>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</si>
  <si>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</si>
  <si>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</si>
  <si>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</si>
  <si>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</si>
  <si>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</si>
  <si>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</si>
  <si>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</si>
  <si>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</si>
  <si>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</si>
  <si>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</si>
  <si>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</si>
  <si>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</si>
  <si>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</si>
  <si>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</si>
  <si>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</si>
  <si>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</si>
  <si>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</si>
  <si>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</si>
  <si>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</si>
  <si>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</si>
  <si>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</si>
  <si>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</si>
  <si>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</si>
  <si>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</si>
  <si>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</si>
  <si>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</si>
  <si>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</si>
  <si>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</si>
  <si>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</si>
  <si>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</si>
  <si>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</si>
  <si>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</si>
  <si>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</si>
  <si>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</si>
  <si>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</si>
  <si>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</si>
  <si>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</si>
  <si>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</si>
  <si>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</si>
  <si>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</si>
  <si>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</si>
  <si>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</si>
  <si>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</si>
  <si>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</si>
  <si>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</si>
  <si>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</si>
  <si>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</si>
  <si>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</si>
  <si>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</si>
  <si>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</si>
  <si>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</si>
  <si>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</si>
  <si>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</si>
  <si>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</si>
  <si>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</si>
  <si>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</si>
  <si>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</si>
  <si>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</si>
  <si>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</si>
  <si>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</si>
  <si>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</si>
  <si>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</si>
  <si>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</si>
  <si>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</si>
  <si>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</si>
  <si>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</si>
  <si>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</si>
  <si>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</si>
  <si>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</si>
  <si>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</si>
  <si>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</si>
  <si>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</si>
  <si>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</si>
  <si>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</si>
  <si>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</si>
  <si>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</si>
  <si>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</si>
  <si>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</si>
  <si>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</si>
  <si>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</si>
  <si>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</si>
  <si>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</si>
  <si>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</si>
  <si>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</si>
  <si>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</si>
  <si>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</si>
  <si>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</si>
  <si>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</si>
  <si>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</si>
  <si>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</si>
  <si>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</si>
  <si>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</si>
  <si>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</si>
  <si>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</si>
  <si>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</si>
  <si>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</si>
  <si>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</si>
  <si>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</si>
  <si>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</si>
  <si>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</si>
  <si>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</si>
  <si>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</si>
  <si>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</si>
  <si>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</si>
  <si>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</si>
  <si>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</si>
  <si>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</si>
  <si>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</si>
  <si>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</si>
  <si>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</si>
  <si>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</si>
  <si>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</si>
  <si>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</si>
  <si>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</si>
  <si>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</si>
  <si>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</si>
  <si>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</si>
  <si>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</si>
  <si>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</si>
  <si>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</si>
  <si>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</si>
  <si>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</si>
  <si>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</si>
  <si>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</si>
  <si>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</si>
  <si>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</si>
  <si>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</si>
  <si>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</si>
  <si>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</si>
  <si>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</si>
  <si>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</si>
  <si>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</si>
  <si>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</si>
  <si>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</si>
  <si>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</si>
  <si>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</si>
  <si>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</si>
  <si>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</si>
  <si>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</si>
  <si>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</si>
  <si>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</si>
  <si>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</si>
  <si>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</si>
  <si>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</si>
  <si>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</si>
  <si>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</si>
  <si>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</si>
  <si>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</si>
  <si>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</si>
  <si>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</si>
  <si>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</si>
  <si>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</si>
  <si>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</si>
  <si>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</si>
  <si>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</si>
  <si>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</si>
  <si>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</si>
  <si>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</si>
  <si>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</si>
  <si>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</si>
  <si>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</si>
  <si>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</si>
  <si>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</si>
  <si>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</si>
  <si>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</si>
  <si>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</si>
  <si>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</si>
  <si>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</si>
  <si>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</si>
  <si>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</si>
  <si>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</si>
  <si>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</si>
  <si>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</si>
  <si>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</si>
  <si>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</si>
  <si>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</si>
  <si>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</si>
  <si>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</si>
  <si>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</si>
  <si>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</si>
  <si>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</si>
  <si>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</si>
  <si>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</si>
  <si>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</si>
  <si>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</si>
  <si>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</si>
  <si>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</si>
  <si>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</si>
  <si>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</si>
  <si>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</si>
  <si>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</si>
  <si>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</si>
  <si>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</si>
  <si>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</si>
  <si>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</si>
  <si>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</si>
  <si>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</si>
  <si>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</si>
  <si>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</si>
  <si>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</si>
  <si>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</si>
  <si>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</si>
  <si>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</si>
  <si>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</si>
  <si>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</si>
  <si>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</si>
  <si>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</si>
  <si>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</si>
  <si>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</si>
  <si>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</si>
  <si>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</si>
  <si>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</si>
  <si>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</si>
  <si>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</si>
  <si>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</si>
  <si>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</si>
  <si>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</si>
  <si>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</si>
  <si>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</si>
  <si>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</si>
  <si>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</si>
  <si>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</si>
  <si>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</si>
  <si>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</si>
  <si>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</si>
  <si>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</si>
  <si>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</si>
  <si>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</si>
  <si>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</si>
  <si>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</si>
  <si>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</si>
  <si>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</si>
  <si>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</si>
  <si>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</si>
  <si>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</si>
  <si>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</si>
  <si>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</si>
  <si>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</si>
  <si>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</si>
  <si>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</si>
  <si>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</si>
  <si>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</si>
  <si>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</si>
  <si>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</si>
  <si>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</si>
  <si>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</si>
  <si>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</si>
  <si>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</si>
  <si>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</si>
  <si>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</si>
  <si>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</si>
  <si>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</si>
  <si>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</si>
  <si>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</si>
  <si>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</si>
  <si>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</si>
  <si>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</si>
  <si>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</si>
  <si>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</si>
  <si>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</si>
  <si>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</si>
  <si>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</si>
  <si>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</si>
  <si>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</si>
  <si>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</si>
  <si>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</si>
  <si>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</si>
  <si>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</si>
  <si>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</si>
  <si>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</si>
  <si>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</si>
  <si>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</si>
  <si>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</si>
  <si>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</si>
  <si>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</si>
  <si>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</si>
  <si>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</si>
  <si>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</si>
  <si>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</si>
  <si>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</si>
  <si>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</si>
  <si>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</si>
  <si>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</si>
  <si>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</si>
  <si>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</si>
  <si>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</si>
  <si>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</si>
  <si>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</si>
  <si>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</si>
  <si>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</si>
  <si>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</si>
  <si>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</si>
  <si>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</si>
  <si>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</si>
  <si>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</si>
  <si>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</si>
  <si>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</si>
  <si>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</si>
  <si>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</si>
  <si>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</si>
  <si>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</si>
  <si>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</si>
  <si>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</si>
  <si>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</si>
  <si>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</si>
  <si>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</si>
  <si>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</si>
  <si>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</si>
  <si>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</si>
  <si>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</si>
  <si>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</si>
  <si>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</si>
  <si>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</si>
  <si>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</si>
  <si>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</si>
  <si>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</si>
  <si>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</si>
  <si>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</si>
  <si>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</si>
  <si>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</si>
  <si>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</si>
  <si>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</si>
  <si>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</si>
  <si>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</si>
  <si>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</si>
  <si>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</si>
  <si>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</si>
  <si>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</si>
  <si>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</si>
  <si>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</si>
  <si>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</si>
  <si>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</si>
  <si>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</si>
  <si>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</si>
  <si>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</si>
  <si>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</si>
  <si>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</si>
  <si>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</si>
  <si>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</si>
  <si>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</si>
  <si>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</si>
  <si>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</si>
  <si>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</si>
  <si>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</si>
  <si>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</si>
  <si>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</si>
  <si>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</si>
  <si>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</si>
  <si>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</si>
  <si>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</si>
  <si>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</si>
  <si>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</si>
  <si>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</si>
  <si>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</si>
  <si>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</si>
  <si>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</si>
  <si>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</si>
  <si>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</si>
  <si>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</si>
  <si>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</si>
  <si>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</si>
  <si>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</si>
  <si>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</si>
  <si>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</si>
  <si>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</si>
  <si>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</si>
  <si>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</si>
  <si>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</si>
  <si>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</si>
  <si>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</si>
  <si>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</si>
  <si>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</si>
  <si>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</si>
  <si>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</si>
  <si>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</si>
  <si>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</si>
  <si>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</si>
  <si>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</si>
  <si>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</si>
  <si>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</si>
  <si>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</si>
  <si>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</si>
  <si>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</si>
  <si>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</si>
  <si>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</si>
  <si>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</si>
  <si>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</si>
  <si>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</si>
  <si>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</si>
  <si>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</si>
  <si>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</si>
  <si>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</si>
  <si>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</si>
  <si>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</si>
  <si>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</si>
  <si>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</si>
  <si>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</si>
  <si>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</si>
  <si>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</si>
  <si>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</si>
  <si>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</si>
  <si>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</si>
  <si>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</si>
  <si>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</si>
  <si>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</si>
  <si>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</si>
  <si>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</si>
  <si>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</si>
  <si>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</si>
  <si>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</si>
  <si>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</si>
  <si>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</si>
  <si>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</si>
  <si>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</si>
  <si>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</si>
  <si>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</si>
  <si>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</si>
  <si>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</si>
  <si>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</si>
  <si>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</si>
  <si>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</si>
  <si>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</si>
  <si>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</si>
  <si>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</si>
  <si>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</si>
  <si>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</si>
  <si>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</si>
  <si>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</si>
  <si>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</si>
  <si>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</si>
  <si>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</si>
  <si>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</si>
  <si>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</si>
  <si>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</si>
  <si>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</si>
  <si>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</si>
  <si>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</si>
  <si>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</si>
  <si>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</si>
  <si>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</si>
  <si>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</si>
  <si>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</si>
  <si>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</si>
  <si>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</si>
  <si>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</si>
  <si>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</si>
  <si>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</si>
  <si>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</si>
  <si>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</si>
  <si>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</si>
  <si>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</si>
  <si>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</si>
  <si>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</si>
  <si>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</si>
  <si>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</si>
  <si>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</si>
  <si>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</si>
  <si>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</si>
  <si>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</si>
  <si>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</si>
  <si>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</si>
  <si>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</si>
  <si>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</si>
  <si>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</si>
  <si>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</si>
  <si>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</si>
  <si>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</si>
  <si>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</si>
  <si>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</si>
  <si>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</si>
  <si>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</si>
  <si>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</si>
  <si>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</si>
  <si>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</si>
  <si>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</si>
  <si>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</si>
  <si>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</si>
  <si>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</si>
  <si>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</si>
  <si>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</si>
  <si>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</si>
  <si>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</si>
  <si>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</si>
  <si>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</si>
  <si>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</si>
  <si>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</si>
  <si>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</si>
  <si>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</si>
  <si>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</si>
  <si>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</si>
  <si>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</si>
  <si>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</si>
  <si>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</si>
  <si>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</si>
  <si>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</si>
  <si>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</si>
  <si>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</si>
  <si>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</si>
  <si>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</si>
  <si>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</si>
  <si>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</si>
  <si>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</si>
  <si>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</si>
  <si>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</si>
  <si>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</si>
  <si>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</si>
  <si>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</si>
  <si>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</si>
  <si>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</si>
  <si>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</si>
  <si>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</si>
  <si>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</si>
  <si>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</si>
  <si>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</si>
  <si>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</si>
  <si>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</si>
  <si>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</si>
  <si>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</si>
  <si>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</si>
  <si>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</si>
  <si>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</si>
  <si>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</si>
  <si>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</si>
  <si>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</si>
  <si>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</si>
  <si>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</si>
  <si>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</si>
  <si>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</si>
  <si>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</si>
  <si>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</si>
  <si>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</si>
  <si>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</si>
  <si>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</si>
  <si>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</si>
  <si>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</si>
  <si>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</si>
  <si>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</si>
  <si>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</si>
  <si>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</si>
  <si>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</si>
  <si>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</si>
  <si>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</si>
  <si>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</si>
  <si>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</si>
  <si>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</si>
  <si>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</si>
  <si>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</si>
  <si>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</si>
  <si>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</si>
  <si>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</si>
  <si>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</si>
  <si>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</si>
  <si>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</si>
  <si>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</si>
  <si>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</si>
  <si>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</si>
  <si>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</si>
  <si>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</si>
  <si>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</si>
  <si>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</si>
  <si>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</si>
  <si>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</si>
  <si>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</si>
  <si>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</si>
  <si>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</si>
  <si>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</si>
  <si>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</si>
  <si>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</si>
  <si>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</si>
  <si>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</si>
  <si>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</si>
  <si>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</si>
  <si>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</si>
  <si>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</si>
  <si>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</si>
  <si>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</si>
  <si>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</si>
  <si>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</si>
  <si>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</si>
  <si>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</si>
  <si>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</si>
  <si>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</si>
  <si>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</si>
  <si>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</si>
  <si>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</si>
  <si>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</si>
  <si>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</si>
  <si>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</si>
  <si>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</si>
  <si>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</si>
  <si>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</si>
  <si>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</si>
  <si>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</si>
  <si>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</si>
  <si>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</si>
  <si>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</si>
  <si>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</si>
  <si>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</si>
  <si>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</si>
  <si>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</si>
  <si>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</si>
  <si>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</si>
  <si>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</si>
  <si>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</si>
  <si>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</si>
  <si>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</si>
  <si>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</si>
  <si>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</si>
  <si>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</si>
  <si>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</si>
  <si>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</si>
  <si>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</si>
  <si>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</si>
  <si>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</si>
  <si>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</si>
  <si>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</si>
  <si>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</si>
  <si>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</si>
  <si>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</si>
  <si>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</si>
  <si>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</si>
  <si>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</si>
  <si>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</si>
  <si>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</si>
  <si>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</si>
  <si>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</si>
  <si>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</si>
  <si>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</si>
  <si>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</si>
  <si>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</si>
  <si>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</si>
  <si>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</si>
  <si>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</si>
  <si>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</si>
  <si>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</si>
  <si>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</si>
  <si>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</si>
  <si>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</si>
  <si>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</si>
  <si>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</si>
  <si>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</si>
  <si>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</si>
  <si>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</si>
  <si>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</si>
  <si>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</si>
  <si>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</si>
  <si>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</si>
  <si>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</si>
  <si>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</si>
  <si>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</si>
  <si>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</si>
  <si>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</si>
  <si>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</si>
  <si>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</si>
  <si>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</si>
  <si>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</si>
  <si>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</si>
  <si>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</si>
  <si>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</si>
  <si>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</si>
  <si>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</si>
  <si>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</si>
  <si>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</si>
  <si>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</si>
  <si>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</si>
  <si>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</si>
  <si>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</si>
  <si>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</si>
  <si>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</si>
  <si>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</si>
  <si>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</si>
  <si>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</si>
  <si>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</si>
  <si>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</si>
  <si>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</si>
  <si>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</si>
  <si>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</si>
  <si>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</si>
  <si>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</si>
  <si>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</si>
  <si>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</si>
  <si>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</si>
  <si>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</si>
  <si>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</si>
  <si>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</si>
  <si>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</si>
  <si>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</si>
  <si>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</si>
  <si>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</si>
  <si>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</si>
  <si>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</si>
  <si>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</si>
  <si>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</si>
  <si>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</si>
  <si>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</si>
  <si>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</si>
  <si>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</si>
  <si>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</si>
  <si>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</si>
  <si>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</si>
  <si>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</si>
  <si>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</si>
  <si>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</si>
  <si>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</si>
  <si>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</si>
  <si>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</si>
  <si>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</si>
  <si>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</si>
  <si>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</si>
  <si>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</si>
  <si>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</si>
  <si>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</si>
  <si>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</si>
  <si>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</si>
  <si>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</si>
  <si>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</si>
  <si>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</si>
  <si>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</si>
  <si>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</si>
  <si>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</si>
  <si>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</si>
  <si>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</si>
  <si>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</si>
  <si>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</si>
  <si>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</si>
  <si>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</si>
  <si>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</si>
  <si>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</si>
  <si>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</si>
  <si>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</si>
  <si>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</si>
  <si>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</si>
  <si>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</si>
  <si>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</si>
  <si>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</si>
  <si>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</si>
  <si>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</si>
  <si>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</si>
  <si>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</si>
  <si>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</si>
  <si>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</si>
  <si>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</si>
  <si>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</si>
  <si>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</si>
  <si>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</si>
  <si>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</si>
  <si>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</si>
  <si>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</si>
  <si>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</si>
  <si>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</si>
  <si>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</si>
  <si>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</si>
  <si>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</si>
  <si>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</si>
  <si>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</si>
  <si>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</si>
  <si>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</si>
  <si>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</si>
  <si>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</si>
  <si>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</si>
  <si>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</si>
  <si>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</si>
  <si>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</si>
  <si>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</si>
  <si>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</si>
  <si>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</si>
  <si>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</si>
  <si>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</si>
  <si>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</si>
  <si>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</si>
  <si>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</si>
  <si>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</si>
  <si>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</si>
  <si>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</si>
  <si>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</si>
  <si>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</si>
  <si>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</si>
  <si>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</si>
  <si>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</si>
  <si>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</si>
  <si>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</si>
  <si>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</si>
  <si>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</si>
  <si>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</si>
  <si>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</si>
  <si>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</si>
  <si>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</si>
  <si>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</si>
  <si>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</si>
  <si>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</si>
  <si>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</si>
  <si>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</si>
  <si>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</si>
  <si>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</si>
  <si>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</si>
  <si>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</si>
  <si>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</si>
  <si>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</si>
  <si>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</si>
  <si>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</si>
  <si>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</si>
  <si>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</si>
  <si>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</si>
  <si>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</si>
  <si>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</si>
  <si>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</si>
  <si>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</si>
  <si>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</si>
  <si>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</si>
  <si>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</si>
  <si>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</si>
  <si>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</si>
  <si>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</si>
  <si>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</si>
  <si>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</si>
  <si>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</si>
  <si>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</si>
  <si>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</si>
  <si>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</si>
  <si>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</si>
  <si>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</si>
  <si>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</si>
  <si>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</si>
  <si>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</si>
  <si>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</si>
  <si>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</si>
  <si>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</si>
  <si>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</si>
  <si>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</si>
  <si>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</si>
  <si>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</si>
  <si>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</si>
  <si>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</si>
  <si>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</si>
  <si>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</si>
  <si>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</si>
  <si>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</si>
  <si>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</si>
  <si>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</si>
  <si>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</si>
  <si>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</si>
  <si>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</si>
  <si>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</si>
  <si>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</si>
  <si>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</si>
  <si>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</si>
  <si>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</si>
  <si>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</si>
  <si>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</si>
  <si>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</si>
  <si>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</si>
  <si>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</si>
  <si>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</si>
  <si>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</si>
  <si>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</si>
  <si>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</si>
  <si>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</si>
  <si>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</si>
  <si>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</si>
  <si>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</si>
  <si>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</si>
  <si>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</si>
  <si>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</si>
  <si>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</si>
  <si>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</si>
  <si>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</si>
  <si>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</si>
  <si>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</si>
  <si>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</si>
  <si>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</si>
  <si>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</si>
  <si>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</si>
  <si>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</si>
  <si>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</si>
  <si>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</si>
  <si>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</si>
  <si>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</si>
  <si>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</si>
  <si>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</si>
  <si>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</si>
  <si>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</si>
  <si>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</si>
  <si>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</si>
  <si>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</si>
  <si>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</si>
  <si>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</si>
  <si>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</si>
  <si>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</si>
  <si>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</si>
  <si>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</si>
  <si>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</si>
  <si>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</si>
  <si>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</si>
  <si>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</si>
  <si>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</si>
  <si>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</si>
  <si>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</si>
  <si>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</si>
  <si>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</si>
  <si>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</si>
  <si>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</si>
  <si>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</si>
  <si>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</si>
  <si>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</si>
  <si>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</si>
  <si>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</si>
  <si>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</si>
  <si>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</si>
  <si>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</si>
  <si>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</si>
  <si>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</si>
  <si>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</si>
  <si>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</si>
  <si>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</si>
  <si>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</si>
  <si>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</si>
  <si>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</si>
  <si>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</si>
  <si>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</si>
  <si>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</si>
  <si>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</si>
  <si>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</si>
  <si>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</si>
  <si>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</si>
  <si>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</si>
  <si>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</si>
  <si>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</si>
  <si>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</si>
  <si>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</si>
  <si>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</si>
  <si>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</si>
  <si>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</si>
  <si>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</si>
  <si>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</si>
  <si>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</si>
  <si>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</si>
  <si>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</si>
  <si>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</si>
  <si>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</si>
  <si>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</si>
  <si>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</si>
  <si>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</si>
  <si>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</si>
  <si>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</si>
  <si>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</si>
  <si>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</si>
  <si>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</si>
  <si>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</si>
  <si>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</si>
  <si>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</si>
  <si>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</si>
  <si>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</si>
  <si>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</si>
  <si>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</si>
  <si>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</si>
  <si>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</si>
  <si>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</si>
  <si>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</si>
  <si>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</si>
  <si>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</si>
  <si>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</si>
  <si>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</si>
  <si>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</si>
  <si>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</si>
  <si>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</si>
  <si>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</si>
  <si>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</si>
  <si>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</si>
  <si>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</si>
  <si>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</si>
  <si>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</si>
  <si>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</si>
  <si>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</si>
  <si>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</si>
  <si>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</si>
  <si>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</si>
  <si>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</si>
  <si>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</si>
  <si>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</si>
  <si>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</si>
  <si>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</si>
  <si>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</si>
  <si>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</si>
  <si>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</si>
  <si>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</si>
  <si>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</si>
  <si>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</si>
  <si>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</si>
  <si>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</si>
  <si>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</si>
  <si>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</si>
  <si>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</si>
  <si>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</si>
  <si>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</si>
  <si>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</si>
  <si>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</si>
  <si>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</si>
  <si>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</si>
  <si>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</si>
  <si>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</si>
  <si>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</si>
  <si>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</si>
  <si>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</si>
  <si>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</si>
  <si>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</si>
  <si>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</si>
  <si>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</si>
  <si>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</si>
  <si>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</si>
  <si>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</si>
  <si>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</si>
  <si>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</si>
  <si>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</si>
  <si>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</si>
  <si>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</si>
  <si>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</si>
  <si>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</si>
  <si>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</si>
  <si>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</si>
  <si>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</si>
  <si>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</si>
  <si>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</si>
  <si>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</si>
  <si>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</si>
  <si>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</si>
  <si>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</si>
  <si>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</si>
  <si>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</si>
  <si>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</si>
  <si>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</si>
  <si>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</si>
  <si>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</si>
  <si>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</si>
  <si>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</si>
  <si>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</si>
  <si>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</si>
  <si>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</si>
  <si>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</si>
  <si>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</si>
  <si>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</si>
  <si>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</si>
  <si>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</si>
  <si>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</si>
  <si>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</si>
  <si>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</si>
  <si>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</si>
  <si>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</si>
  <si>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</si>
  <si>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</si>
  <si>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</si>
  <si>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</si>
  <si>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</si>
  <si>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</si>
  <si>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</si>
  <si>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</si>
  <si>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</si>
  <si>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</si>
  <si>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</si>
  <si>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</si>
  <si>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</si>
  <si>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</si>
  <si>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</si>
  <si>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</si>
  <si>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</si>
  <si>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</si>
  <si>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</si>
  <si>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</si>
  <si>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</si>
  <si>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</si>
  <si>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</si>
  <si>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</si>
  <si>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</si>
  <si>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</si>
  <si>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</si>
  <si>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</si>
  <si>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</si>
  <si>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</si>
  <si>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</si>
  <si>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</si>
  <si>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</si>
  <si>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</si>
  <si>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</si>
  <si>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</si>
  <si>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</si>
  <si>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</si>
  <si>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</si>
  <si>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</si>
  <si>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</si>
  <si>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</si>
  <si>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</si>
  <si>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</si>
  <si>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</si>
  <si>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</si>
  <si>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</si>
  <si>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</si>
  <si>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</si>
  <si>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</si>
  <si>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</si>
  <si>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</si>
  <si>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</si>
  <si>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</si>
  <si>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</si>
  <si>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</si>
  <si>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</si>
  <si>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</si>
  <si>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</si>
  <si>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</si>
  <si>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</si>
  <si>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</si>
  <si>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</si>
  <si>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</si>
  <si>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</si>
  <si>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</si>
  <si>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</si>
  <si>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</si>
  <si>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</si>
  <si>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</si>
  <si>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</si>
  <si>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</si>
  <si>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</si>
  <si>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</si>
  <si>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</si>
  <si>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</si>
  <si>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</si>
  <si>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</si>
  <si>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</si>
  <si>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</si>
  <si>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</si>
  <si>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</si>
  <si>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</si>
  <si>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</si>
  <si>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</si>
  <si>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</si>
  <si>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</si>
  <si>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</si>
  <si>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</si>
  <si>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</si>
  <si>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</si>
  <si>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</si>
  <si>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</si>
  <si>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</si>
  <si>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</si>
  <si>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</si>
  <si>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</si>
  <si>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</si>
  <si>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</si>
  <si>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</si>
  <si>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</si>
  <si>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</si>
  <si>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</si>
  <si>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</si>
  <si>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</si>
  <si>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</si>
  <si>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</si>
  <si>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</si>
  <si>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</si>
  <si>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</si>
  <si>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</si>
  <si>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</si>
  <si>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</si>
  <si>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</si>
  <si>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</si>
  <si>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</si>
  <si>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</si>
  <si>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</si>
  <si>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</si>
  <si>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</si>
  <si>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</si>
  <si>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</si>
  <si>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</si>
  <si>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</si>
  <si>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</si>
  <si>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</si>
  <si>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</si>
  <si>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</si>
  <si>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</si>
  <si>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</si>
  <si>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</si>
  <si>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</si>
  <si>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</si>
  <si>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</si>
  <si>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</si>
  <si>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</si>
  <si>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</si>
  <si>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</si>
  <si>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</si>
  <si>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</si>
  <si>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</si>
  <si>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</si>
  <si>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</si>
  <si>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</si>
  <si>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</si>
  <si>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</si>
  <si>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</si>
  <si>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</si>
  <si>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</si>
  <si>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</si>
  <si>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</si>
  <si>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</si>
  <si>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</si>
  <si>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</si>
  <si>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</si>
  <si>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</si>
  <si>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</si>
  <si>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</si>
  <si>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</si>
  <si>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</si>
  <si>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</si>
  <si>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</si>
  <si>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</si>
  <si>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</si>
  <si>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</si>
  <si>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</si>
  <si>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</si>
  <si>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</si>
  <si>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</si>
  <si>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</si>
  <si>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</si>
  <si>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</si>
  <si>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</si>
  <si>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</si>
  <si>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</si>
  <si>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</si>
  <si>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</si>
  <si>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</si>
  <si>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</si>
  <si>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</si>
  <si>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</si>
  <si>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</si>
  <si>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</si>
  <si>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</si>
  <si>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</si>
  <si>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</si>
  <si>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</si>
  <si>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</si>
  <si>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</si>
  <si>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</si>
  <si>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</si>
  <si>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</si>
  <si>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</si>
  <si>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</si>
  <si>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</si>
  <si>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</si>
  <si>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</si>
  <si>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</si>
  <si>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</si>
  <si>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</si>
  <si>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</si>
  <si>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</si>
  <si>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</si>
  <si>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</si>
  <si>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</si>
  <si>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</si>
  <si>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</si>
  <si>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</si>
  <si>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</si>
  <si>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</si>
  <si>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</si>
  <si>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</si>
  <si>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</si>
  <si>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</si>
  <si>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</si>
  <si>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</si>
  <si>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</si>
  <si>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</si>
  <si>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</si>
  <si>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</si>
  <si>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</si>
  <si>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</si>
  <si>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</si>
  <si>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</si>
  <si>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</si>
  <si>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</si>
  <si>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</si>
  <si>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</si>
  <si>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</si>
  <si>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</si>
  <si>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</si>
  <si>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</si>
  <si>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</si>
  <si>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</si>
  <si>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</si>
  <si>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</si>
  <si>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</si>
  <si>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</si>
  <si>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</si>
  <si>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</si>
  <si>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</si>
  <si>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</si>
  <si>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</si>
  <si>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</si>
  <si>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</si>
  <si>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</si>
  <si>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</si>
  <si>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</si>
  <si>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</si>
  <si>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</si>
  <si>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</si>
  <si>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</si>
  <si>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</si>
  <si>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</si>
  <si>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</si>
  <si>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</si>
  <si>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</si>
  <si>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</si>
  <si>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</si>
  <si>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</si>
  <si>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</si>
  <si>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</si>
  <si>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</si>
  <si>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</si>
  <si>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</si>
  <si>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</si>
  <si>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</si>
  <si>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</si>
  <si>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</si>
  <si>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</si>
  <si>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</si>
  <si>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</si>
  <si>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</si>
  <si>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</si>
  <si>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</si>
  <si>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</si>
  <si>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</si>
  <si>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</si>
  <si>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</si>
  <si>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</si>
  <si>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</si>
  <si>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</si>
  <si>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</si>
  <si>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</si>
  <si>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</si>
  <si>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</si>
  <si>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</si>
  <si>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</si>
  <si>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</si>
  <si>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</si>
  <si>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</si>
  <si>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</si>
  <si>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</si>
  <si>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</si>
  <si>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</si>
  <si>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</si>
  <si>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</si>
  <si>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</si>
  <si>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</si>
  <si>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</si>
  <si>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</si>
  <si>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</si>
  <si>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</si>
  <si>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</si>
  <si>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</si>
  <si>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</si>
  <si>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</si>
  <si>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</si>
  <si>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</si>
  <si>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</si>
  <si>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</si>
  <si>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</si>
  <si>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</si>
  <si>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</si>
  <si>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</si>
  <si>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</si>
  <si>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</si>
  <si>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</si>
  <si>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</si>
  <si>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</si>
  <si>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</si>
  <si>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</si>
  <si>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</si>
  <si>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</si>
  <si>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</si>
  <si>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</si>
  <si>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</si>
  <si>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</si>
  <si>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</si>
  <si>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</si>
  <si>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</si>
  <si>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</si>
  <si>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</si>
  <si>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</si>
  <si>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</si>
  <si>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</si>
  <si>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</si>
  <si>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</si>
  <si>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</si>
  <si>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</si>
  <si>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</si>
  <si>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</si>
  <si>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</si>
  <si>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</si>
  <si>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</si>
  <si>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</si>
  <si>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</si>
  <si>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</si>
  <si>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</si>
  <si>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</si>
  <si>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</si>
  <si>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</si>
  <si>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</si>
  <si>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</si>
  <si>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</si>
  <si>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</si>
  <si>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</si>
  <si>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</si>
  <si>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</si>
  <si>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</si>
  <si>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</si>
  <si>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</si>
  <si>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</si>
  <si>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</si>
  <si>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</si>
  <si>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</si>
  <si>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</si>
  <si>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</si>
  <si>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</si>
  <si>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</si>
  <si>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</si>
  <si>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</si>
  <si>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</si>
  <si>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</si>
  <si>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</si>
  <si>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</si>
  <si>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</si>
  <si>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</si>
  <si>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</si>
  <si>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</si>
  <si>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</si>
  <si>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</si>
  <si>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</si>
  <si>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</si>
  <si>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</si>
  <si>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</si>
  <si>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</si>
  <si>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</si>
  <si>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</si>
  <si>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</si>
  <si>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</si>
  <si>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</si>
  <si>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</si>
  <si>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</si>
  <si>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</si>
  <si>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</si>
  <si>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</si>
  <si>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</si>
  <si>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</si>
  <si>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</si>
  <si>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</si>
  <si>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</si>
  <si>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</si>
  <si>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</si>
  <si>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</si>
  <si>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</si>
  <si>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</si>
  <si>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</si>
  <si>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</si>
  <si>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</si>
  <si>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</si>
  <si>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</si>
  <si>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</si>
  <si>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</si>
  <si>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</si>
  <si>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</si>
  <si>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</si>
  <si>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</si>
  <si>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</si>
  <si>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</si>
  <si>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</si>
  <si>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</si>
  <si>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</si>
  <si>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</si>
  <si>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</si>
  <si>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</si>
  <si>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</si>
  <si>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</si>
  <si>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</si>
  <si>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</si>
  <si>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</si>
  <si>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</si>
  <si>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</si>
  <si>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</si>
  <si>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</si>
  <si>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</si>
  <si>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</si>
  <si>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</si>
  <si>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</si>
  <si>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</si>
  <si>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</si>
  <si>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</si>
  <si>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</si>
  <si>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</si>
  <si>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</si>
  <si>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</si>
  <si>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</si>
  <si>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</si>
  <si>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</si>
  <si>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</si>
  <si>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</si>
  <si>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</si>
  <si>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</si>
  <si>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</si>
  <si>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</si>
  <si>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</si>
  <si>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</si>
  <si>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</si>
  <si>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</si>
  <si>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</si>
  <si>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</si>
  <si>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</si>
  <si>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</si>
  <si>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</si>
  <si>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</si>
  <si>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</si>
  <si>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</si>
  <si>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</si>
  <si>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</si>
  <si>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</si>
  <si>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</si>
  <si>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</si>
  <si>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</si>
  <si>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</si>
  <si>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</si>
  <si>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</si>
  <si>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CitiRBBT</t>
  </si>
  <si>
    <t>BOC 3.9/4.2</t>
  </si>
  <si>
    <t>SCB 3.4</t>
  </si>
  <si>
    <t>CIMB</t>
  </si>
  <si>
    <t>cap</t>
  </si>
  <si>
    <t>BOC</t>
  </si>
  <si>
    <t>EOM</t>
  </si>
  <si>
    <t>6M</t>
  </si>
  <si>
    <t>bad</t>
  </si>
  <si>
    <t>cardSpend req</t>
  </si>
  <si>
    <t>killer: stepUp</t>
  </si>
  <si>
    <t>3.4 ppa</t>
  </si>
  <si>
    <t>12M+</t>
  </si>
  <si>
    <t>long</t>
  </si>
  <si>
    <t>3.5 ppa</t>
  </si>
  <si>
    <t>3.9/4.2 ppa</t>
  </si>
  <si>
    <t>100k too low</t>
  </si>
  <si>
    <t>cash out+!penalty</t>
  </si>
  <si>
    <t>deposit any time</t>
  </si>
  <si>
    <t>ok</t>
  </si>
  <si>
    <t>accural window</t>
  </si>
  <si>
    <t>SCB ccard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</si>
  <si>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</si>
  <si>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</si>
  <si>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</si>
  <si>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</si>
  <si>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</si>
  <si>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</si>
  <si>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</si>
  <si>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NEX #BOC</t>
  </si>
  <si>
    <t>TC #BocCard$500</t>
  </si>
  <si>
    <t>.. IRAS Giro 7Aug</t>
  </si>
  <si>
    <t>Saizeriya</t>
  </si>
  <si>
    <t>Watson's 10/8</t>
  </si>
  <si>
    <t>Watson's 7/8</t>
  </si>
  <si>
    <t>MCS bonus10Aug</t>
  </si>
  <si>
    <t>tBill&lt;DBS</t>
  </si>
  <si>
    <t>knob lock</t>
  </si>
  <si>
    <t>Domino#104</t>
  </si>
  <si>
    <t>boy taxi+meal</t>
  </si>
  <si>
    <t>VivoCity</t>
  </si>
  <si>
    <t>..B9b)ePay dining</t>
  </si>
  <si>
    <t>2M</t>
  </si>
  <si>
    <t>after 10p</t>
  </si>
  <si>
    <t>after midnight #30 Aug 9pm deadline</t>
  </si>
  <si>
    <t>timeD</t>
  </si>
  <si>
    <t>3 to 9M</t>
  </si>
  <si>
    <t>^^当作 income</t>
  </si>
  <si>
    <t>debt writeoff #notional</t>
  </si>
  <si>
    <t>SC bal</t>
  </si>
  <si>
    <t>tBill upfront</t>
  </si>
  <si>
    <t>tBill #20Feb</t>
  </si>
  <si>
    <t>boyBday#HongHu</t>
  </si>
  <si>
    <t>~~ 2submit</t>
  </si>
  <si>
    <t>SRS via#153</t>
  </si>
  <si>
    <t>3.7+/-</t>
  </si>
  <si>
    <t>public holiday</t>
  </si>
  <si>
    <t>NA</t>
  </si>
  <si>
    <t>Saizeriya #MB</t>
  </si>
  <si>
    <t>McD #20Aug</t>
  </si>
  <si>
    <t>taobao 13/8</t>
  </si>
  <si>
    <t>Watson 14/8</t>
  </si>
  <si>
    <t>Sushi #MB</t>
  </si>
  <si>
    <t>SCB ccard#posted</t>
  </si>
  <si>
    <t>SCB ccard&lt;BOC</t>
  </si>
  <si>
    <t>SgPow</t>
  </si>
  <si>
    <t>60k@3.7,,,, 90k@3.5</t>
  </si>
  <si>
    <t>PLOC int paid</t>
  </si>
  <si>
    <t>CGC 24/8 SCB</t>
  </si>
  <si>
    <t>ATM till  25Aug</t>
  </si>
  <si>
    <t>HsbcRBBT</t>
  </si>
  <si>
    <t>dietician</t>
  </si>
  <si>
    <t>Bugis#SCB</t>
  </si>
  <si>
    <t>21.12 !yet</t>
  </si>
  <si>
    <t>router</t>
  </si>
  <si>
    <t>payroll</t>
  </si>
  <si>
    <t>wife &lt;------</t>
  </si>
  <si>
    <t>well before 10p</t>
  </si>
  <si>
    <t>after 10p #payroll-day juggling</t>
  </si>
  <si>
    <t>after 10p, max out on BOC, FINALE</t>
  </si>
  <si>
    <t>capture 2H profit window</t>
  </si>
  <si>
    <t>LG2 &gt;&gt;&gt;&gt;&gt;</t>
  </si>
  <si>
    <t>aft midnight</t>
  </si>
  <si>
    <t>5k to repay</t>
  </si>
  <si>
    <t>Test-transfer from EGA after 10p</t>
  </si>
  <si>
    <t>confirmed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</si>
</sst>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mmm"/>
    <numFmt numFmtId="184" formatCode="\+#,###;\-#,###;0"/>
    <numFmt numFmtId="185" formatCode="ddd\ d\-mmm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4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183" fontId="0" fillId="0" borderId="7" xfId="0" applyNumberFormat="1" applyBorder="1" applyAlignment="1">
      <alignment horizontal="right"/>
    </xf>
    <xf numFmtId="183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84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4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Border="1"/>
    <xf numFmtId="0" fontId="0" fillId="0" borderId="0" xfId="0"/>
    <xf numFmtId="0" fontId="0" fillId="0" borderId="0" xfId="0" applyBorder="1"/>
    <xf numFmtId="0" fontId="22" fillId="22" borderId="0" xfId="0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/>
    <xf numFmtId="0" fontId="0" fillId="0" borderId="0" xfId="0" applyBorder="1"/>
    <xf numFmtId="184" fontId="36" fillId="0" borderId="7" xfId="0" applyNumberFormat="1" applyFont="1" applyBorder="1"/>
    <xf numFmtId="172" fontId="0" fillId="0" borderId="10" xfId="0" applyNumberFormat="1" applyBorder="1" applyAlignment="1">
      <alignment horizontal="right"/>
    </xf>
    <xf numFmtId="0" fontId="0" fillId="0" borderId="0" xfId="0"/>
    <xf numFmtId="183" fontId="0" fillId="0" borderId="7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/>
    <xf numFmtId="183" fontId="0" fillId="0" borderId="8" xfId="0" applyNumberFormat="1" applyBorder="1" applyAlignment="1">
      <alignment horizontal="center" vertical="center"/>
    </xf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183" fontId="0" fillId="0" borderId="7" xfId="0" applyNumberFormat="1" applyBorder="1" applyAlignment="1">
      <alignment horizontal="center" vertical="center"/>
    </xf>
    <xf numFmtId="185" fontId="0" fillId="0" borderId="0" xfId="0" applyNumberFormat="1" applyFont="1"/>
    <xf numFmtId="185" fontId="0" fillId="0" borderId="0" xfId="0" applyNumberFormat="1"/>
    <xf numFmtId="185" fontId="0" fillId="0" borderId="0" xfId="0" applyNumberForma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183" fontId="0" fillId="0" borderId="22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left"/>
    </xf>
    <xf numFmtId="0" fontId="0" fillId="0" borderId="0" xfId="0"/>
    <xf numFmtId="183" fontId="0" fillId="0" borderId="22" xfId="0" applyNumberFormat="1" applyBorder="1" applyAlignment="1">
      <alignment vertical="center"/>
    </xf>
    <xf numFmtId="0" fontId="0" fillId="0" borderId="0" xfId="0"/>
    <xf numFmtId="3" fontId="36" fillId="0" borderId="11" xfId="0" applyNumberFormat="1" applyFont="1" applyBorder="1"/>
    <xf numFmtId="183" fontId="0" fillId="0" borderId="11" xfId="0" applyNumberFormat="1" applyBorder="1" applyAlignment="1">
      <alignment horizontal="center" vertical="center"/>
    </xf>
    <xf numFmtId="0" fontId="0" fillId="24" borderId="0" xfId="0" applyFill="1"/>
    <xf numFmtId="0" fontId="0" fillId="24" borderId="0" xfId="0" applyFont="1" applyFill="1" applyAlignment="1">
      <alignment horizontal="center"/>
    </xf>
    <xf numFmtId="183" fontId="0" fillId="24" borderId="0" xfId="0" applyNumberFormat="1" applyFill="1" applyAlignment="1">
      <alignment horizontal="right"/>
    </xf>
    <xf numFmtId="0" fontId="10" fillId="24" borderId="0" xfId="0" applyFont="1" applyFill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183" fontId="0" fillId="0" borderId="8" xfId="0" applyNumberFormat="1" applyBorder="1" applyAlignment="1">
      <alignment horizontal="center" vertical="center"/>
    </xf>
    <xf numFmtId="183" fontId="0" fillId="0" borderId="22" xfId="0" applyNumberFormat="1" applyBorder="1" applyAlignment="1">
      <alignment horizontal="center" vertical="center"/>
    </xf>
    <xf numFmtId="183" fontId="0" fillId="0" borderId="11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G9"/>
  <sheetViews>
    <sheetView workbookViewId="0">
      <selection activeCell="B3" sqref="B3"/>
    </sheetView>
  </sheetViews>
  <sheetFormatPr defaultRowHeight="13.2"/>
  <cols>
    <col min="2" max="2" width="7" bestFit="1" customWidth="1"/>
    <col min="3" max="3" width="9.33203125" style="894" bestFit="1" customWidth="1"/>
    <col min="4" max="4" width="18" bestFit="1" customWidth="1"/>
    <col min="5" max="5" width="11.44140625" bestFit="1" customWidth="1"/>
    <col min="6" max="7" width="7" bestFit="1" customWidth="1"/>
  </cols>
  <sheetData>
    <row r="2" spans="2:7" s="871" customFormat="1">
      <c r="B2" s="871" t="s">
        <v>3053</v>
      </c>
      <c r="C2" s="894" t="s">
        <v>3012</v>
      </c>
      <c r="E2" s="871" t="s">
        <v>3013</v>
      </c>
      <c r="F2" s="871" t="s">
        <v>3009</v>
      </c>
      <c r="G2" s="871" t="s">
        <v>3012</v>
      </c>
    </row>
    <row r="3" spans="2:7">
      <c r="B3" s="892" t="s">
        <v>2412</v>
      </c>
      <c r="C3" s="892" t="s">
        <v>3043</v>
      </c>
      <c r="D3" s="892"/>
      <c r="E3" s="892" t="s">
        <v>3003</v>
      </c>
      <c r="F3" s="892" t="s">
        <v>423</v>
      </c>
      <c r="G3" s="892" t="s">
        <v>3001</v>
      </c>
    </row>
    <row r="4" spans="2:7" s="871" customFormat="1">
      <c r="B4" s="871" t="s">
        <v>3011</v>
      </c>
      <c r="C4" s="894" t="s">
        <v>3044</v>
      </c>
      <c r="D4" s="871" t="s">
        <v>3018</v>
      </c>
      <c r="E4" s="871" t="s">
        <v>3010</v>
      </c>
      <c r="F4" s="214" t="s">
        <v>3040</v>
      </c>
      <c r="G4" s="871" t="s">
        <v>3005</v>
      </c>
    </row>
    <row r="5" spans="2:7">
      <c r="B5" s="872"/>
      <c r="D5" t="s">
        <v>3002</v>
      </c>
      <c r="E5" s="580" t="s">
        <v>3014</v>
      </c>
      <c r="F5" s="872"/>
      <c r="G5" s="872"/>
    </row>
    <row r="6" spans="2:7">
      <c r="B6" s="871"/>
      <c r="D6" t="s">
        <v>3008</v>
      </c>
      <c r="E6" s="871"/>
      <c r="F6" s="871"/>
      <c r="G6" s="214" t="s">
        <v>3004</v>
      </c>
    </row>
    <row r="7" spans="2:7" s="872" customFormat="1">
      <c r="B7" s="214" t="s">
        <v>3006</v>
      </c>
      <c r="C7" s="214" t="s">
        <v>3006</v>
      </c>
      <c r="D7" s="872" t="s">
        <v>3015</v>
      </c>
    </row>
    <row r="8" spans="2:7">
      <c r="B8" t="s">
        <v>3006</v>
      </c>
      <c r="C8" s="894" t="s">
        <v>3006</v>
      </c>
      <c r="D8" t="s">
        <v>3016</v>
      </c>
      <c r="E8" s="871"/>
      <c r="F8" s="871"/>
    </row>
    <row r="9" spans="2:7">
      <c r="B9" s="871"/>
      <c r="D9" t="s">
        <v>3007</v>
      </c>
      <c r="E9" t="s">
        <v>3006</v>
      </c>
      <c r="F9" s="871" t="s">
        <v>3017</v>
      </c>
      <c r="G9" t="s">
        <v>3017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37"/>
  <sheetViews>
    <sheetView topLeftCell="D1" zoomScaleNormal="100" workbookViewId="0">
      <selection activeCell="O29" sqref="O29"/>
    </sheetView>
  </sheetViews>
  <sheetFormatPr defaultRowHeight="13.2"/>
  <cols>
    <col min="1" max="1" width="0.5546875" customWidth="1"/>
    <col min="2" max="2" width="11.5546875" style="922" bestFit="1" customWidth="1"/>
    <col min="3" max="3" width="6" bestFit="1" customWidth="1"/>
    <col min="4" max="4" width="7.5546875" bestFit="1" customWidth="1"/>
    <col min="5" max="5" width="1.6640625" customWidth="1"/>
    <col min="6" max="6" width="10.88671875" style="922" bestFit="1" customWidth="1"/>
    <col min="7" max="7" width="4" style="767" bestFit="1" customWidth="1"/>
    <col min="8" max="8" width="7.5546875" style="767" bestFit="1" customWidth="1"/>
    <col min="9" max="9" width="1.6640625" style="767" customWidth="1"/>
    <col min="10" max="10" width="10.33203125" style="922" bestFit="1" customWidth="1"/>
    <col min="11" max="11" width="4" style="767" bestFit="1" customWidth="1"/>
    <col min="12" max="12" width="7.5546875" style="767" bestFit="1" customWidth="1"/>
    <col min="13" max="13" width="1.6640625" style="767" customWidth="1"/>
    <col min="14" max="14" width="11.33203125" style="922" bestFit="1" customWidth="1"/>
    <col min="15" max="15" width="4" style="767" bestFit="1" customWidth="1"/>
    <col min="16" max="16" width="7.5546875" style="767" bestFit="1" customWidth="1"/>
    <col min="18" max="18" width="11.33203125" style="922" bestFit="1" customWidth="1"/>
    <col min="19" max="19" width="4" bestFit="1" customWidth="1"/>
    <col min="20" max="20" width="8.5546875" bestFit="1" customWidth="1"/>
  </cols>
  <sheetData>
    <row r="1" spans="2:20" s="767" customFormat="1" ht="5.4" customHeight="1">
      <c r="B1" s="922"/>
      <c r="F1" s="922"/>
      <c r="J1" s="922"/>
      <c r="N1" s="922"/>
      <c r="R1" s="922"/>
    </row>
    <row r="2" spans="2:20" s="767" customFormat="1">
      <c r="B2" s="922"/>
      <c r="D2" t="s">
        <v>2829</v>
      </c>
      <c r="F2" s="922"/>
      <c r="G2" s="767" t="s">
        <v>2830</v>
      </c>
      <c r="H2" s="767" t="s">
        <v>2829</v>
      </c>
      <c r="J2" s="922"/>
      <c r="K2" s="767" t="s">
        <v>2830</v>
      </c>
      <c r="L2" s="767" t="s">
        <v>2829</v>
      </c>
      <c r="N2" s="922"/>
      <c r="O2" s="767" t="s">
        <v>2830</v>
      </c>
      <c r="P2" s="767" t="s">
        <v>2829</v>
      </c>
      <c r="R2" s="922"/>
      <c r="S2" s="907"/>
      <c r="T2" s="907"/>
    </row>
    <row r="3" spans="2:20">
      <c r="B3" s="922">
        <v>45047</v>
      </c>
      <c r="C3">
        <v>0</v>
      </c>
      <c r="D3" s="831">
        <f t="shared" ref="D3:D22" si="0">C3*1000*0.05%/365</f>
        <v>0</v>
      </c>
      <c r="F3" s="922">
        <v>45078</v>
      </c>
      <c r="G3" s="830">
        <v>585</v>
      </c>
      <c r="H3" s="831">
        <f t="shared" ref="H3:H22" si="1">G3*1000*0.05%/365</f>
        <v>0.80136986301369861</v>
      </c>
      <c r="J3" s="922">
        <v>45108</v>
      </c>
      <c r="K3" s="830">
        <v>595</v>
      </c>
      <c r="L3" s="831">
        <f t="shared" ref="L3:L22" si="2">K3*1000*0.05%/365</f>
        <v>0.81506849315068497</v>
      </c>
      <c r="N3" s="922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0">
      <c r="B4" s="922">
        <v>45048</v>
      </c>
      <c r="C4">
        <v>325</v>
      </c>
      <c r="D4" s="831">
        <f t="shared" si="0"/>
        <v>0.4452054794520548</v>
      </c>
      <c r="F4" s="922">
        <v>45079</v>
      </c>
      <c r="G4" s="830">
        <v>585</v>
      </c>
      <c r="H4" s="831">
        <f t="shared" si="1"/>
        <v>0.80136986301369861</v>
      </c>
      <c r="J4" s="922">
        <v>45109</v>
      </c>
      <c r="K4" s="830">
        <v>595</v>
      </c>
      <c r="L4" s="831">
        <f t="shared" si="2"/>
        <v>0.81506849315068497</v>
      </c>
      <c r="N4" s="922">
        <v>45140</v>
      </c>
      <c r="O4" s="886">
        <v>740</v>
      </c>
      <c r="P4" s="831">
        <f t="shared" si="3"/>
        <v>1.0136986301369864</v>
      </c>
      <c r="R4" s="949" t="s">
        <v>3047</v>
      </c>
      <c r="S4" s="949"/>
      <c r="T4" s="767" t="s">
        <v>2829</v>
      </c>
    </row>
    <row r="5" spans="2:20">
      <c r="B5" s="922">
        <v>45049</v>
      </c>
      <c r="C5">
        <v>500</v>
      </c>
      <c r="D5" s="831">
        <f t="shared" si="0"/>
        <v>0.68493150684931503</v>
      </c>
      <c r="F5" s="922">
        <v>45080</v>
      </c>
      <c r="G5" s="830">
        <v>585</v>
      </c>
      <c r="H5" s="831">
        <f t="shared" si="1"/>
        <v>0.80136986301369861</v>
      </c>
      <c r="J5" s="922">
        <v>45110</v>
      </c>
      <c r="K5" s="830">
        <v>595</v>
      </c>
      <c r="L5" s="831">
        <f t="shared" si="2"/>
        <v>0.81506849315068497</v>
      </c>
      <c r="N5" s="922">
        <v>45141</v>
      </c>
      <c r="O5" s="886">
        <v>740</v>
      </c>
      <c r="P5" s="831">
        <f t="shared" si="3"/>
        <v>1.0136986301369864</v>
      </c>
      <c r="R5" s="922">
        <v>45169</v>
      </c>
      <c r="T5" s="831">
        <f t="shared" ref="T5:T17" si="4">S5*1000*3.4%/365</f>
        <v>0</v>
      </c>
    </row>
    <row r="6" spans="2:20">
      <c r="B6" s="922">
        <v>45050</v>
      </c>
      <c r="C6" s="768">
        <v>500</v>
      </c>
      <c r="D6" s="831">
        <f t="shared" si="0"/>
        <v>0.68493150684931503</v>
      </c>
      <c r="F6" s="922">
        <v>45081</v>
      </c>
      <c r="G6" s="830">
        <v>585</v>
      </c>
      <c r="H6" s="831">
        <f t="shared" si="1"/>
        <v>0.80136986301369861</v>
      </c>
      <c r="J6" s="922">
        <v>45111</v>
      </c>
      <c r="K6" s="830">
        <v>595</v>
      </c>
      <c r="L6" s="831">
        <f t="shared" si="2"/>
        <v>0.81506849315068497</v>
      </c>
      <c r="N6" s="922">
        <v>45142</v>
      </c>
      <c r="O6" s="886">
        <v>740</v>
      </c>
      <c r="P6" s="831">
        <f t="shared" si="3"/>
        <v>1.0136986301369864</v>
      </c>
      <c r="R6" s="922">
        <v>45168</v>
      </c>
      <c r="T6" s="831">
        <f t="shared" si="4"/>
        <v>0</v>
      </c>
    </row>
    <row r="7" spans="2:20">
      <c r="B7" s="922">
        <v>45051</v>
      </c>
      <c r="C7" s="768">
        <v>500</v>
      </c>
      <c r="D7" s="831">
        <f t="shared" si="0"/>
        <v>0.68493150684931503</v>
      </c>
      <c r="F7" s="922">
        <v>45082</v>
      </c>
      <c r="G7" s="830">
        <v>585</v>
      </c>
      <c r="H7" s="831">
        <f t="shared" si="1"/>
        <v>0.80136986301369861</v>
      </c>
      <c r="J7" s="922">
        <v>45112</v>
      </c>
      <c r="K7" s="767">
        <v>595</v>
      </c>
      <c r="L7" s="831">
        <f t="shared" si="2"/>
        <v>0.81506849315068497</v>
      </c>
      <c r="N7" s="922">
        <v>45143</v>
      </c>
      <c r="O7" s="767">
        <v>740</v>
      </c>
      <c r="P7" s="831">
        <f t="shared" ref="P7:P33" si="5">O7*1000*0.05%/365</f>
        <v>1.0136986301369864</v>
      </c>
      <c r="R7" s="922">
        <v>45167</v>
      </c>
      <c r="T7" s="831">
        <f t="shared" si="4"/>
        <v>0</v>
      </c>
    </row>
    <row r="8" spans="2:20">
      <c r="B8" s="922">
        <v>45052</v>
      </c>
      <c r="C8" s="768">
        <v>500</v>
      </c>
      <c r="D8" s="831">
        <f t="shared" si="0"/>
        <v>0.68493150684931503</v>
      </c>
      <c r="F8" s="922">
        <v>45083</v>
      </c>
      <c r="G8" s="830">
        <v>585</v>
      </c>
      <c r="H8" s="831">
        <f t="shared" si="1"/>
        <v>0.80136986301369861</v>
      </c>
      <c r="J8" s="922">
        <v>45113</v>
      </c>
      <c r="K8" s="767">
        <v>600</v>
      </c>
      <c r="L8" s="831">
        <f t="shared" si="2"/>
        <v>0.82191780821917804</v>
      </c>
      <c r="N8" s="922">
        <v>45144</v>
      </c>
      <c r="O8" s="767">
        <v>740</v>
      </c>
      <c r="P8" s="831">
        <f t="shared" si="5"/>
        <v>1.0136986301369864</v>
      </c>
      <c r="R8" s="922">
        <v>45166</v>
      </c>
      <c r="T8" s="831">
        <f t="shared" si="4"/>
        <v>0</v>
      </c>
    </row>
    <row r="9" spans="2:20">
      <c r="B9" s="922">
        <v>45053</v>
      </c>
      <c r="C9" s="768">
        <v>500</v>
      </c>
      <c r="D9" s="831">
        <f t="shared" si="0"/>
        <v>0.68493150684931503</v>
      </c>
      <c r="F9" s="922">
        <v>45084</v>
      </c>
      <c r="G9" s="830">
        <v>585</v>
      </c>
      <c r="H9" s="831">
        <f t="shared" si="1"/>
        <v>0.80136986301369861</v>
      </c>
      <c r="J9" s="922">
        <v>45114</v>
      </c>
      <c r="K9" s="830">
        <v>610</v>
      </c>
      <c r="L9" s="831">
        <f t="shared" si="2"/>
        <v>0.83561643835616439</v>
      </c>
      <c r="N9" s="922">
        <v>45145</v>
      </c>
      <c r="O9" s="767">
        <v>685</v>
      </c>
      <c r="P9" s="831">
        <f t="shared" si="5"/>
        <v>0.93835616438356162</v>
      </c>
      <c r="R9" s="922">
        <v>45165</v>
      </c>
      <c r="T9" s="831">
        <f t="shared" si="4"/>
        <v>0</v>
      </c>
    </row>
    <row r="10" spans="2:20">
      <c r="B10" s="922">
        <v>45054</v>
      </c>
      <c r="C10" s="768">
        <v>500</v>
      </c>
      <c r="D10" s="831">
        <f t="shared" si="0"/>
        <v>0.68493150684931503</v>
      </c>
      <c r="F10" s="922">
        <v>45085</v>
      </c>
      <c r="G10" s="830">
        <v>585</v>
      </c>
      <c r="H10" s="831">
        <f t="shared" si="1"/>
        <v>0.80136986301369861</v>
      </c>
      <c r="J10" s="922">
        <v>45115</v>
      </c>
      <c r="K10" s="767">
        <v>610</v>
      </c>
      <c r="L10" s="831">
        <f t="shared" si="2"/>
        <v>0.83561643835616439</v>
      </c>
      <c r="N10" s="922">
        <v>45146</v>
      </c>
      <c r="O10" s="905">
        <v>685</v>
      </c>
      <c r="P10" s="831">
        <f t="shared" si="5"/>
        <v>0.93835616438356162</v>
      </c>
      <c r="R10" s="922">
        <v>45164</v>
      </c>
      <c r="S10">
        <v>150</v>
      </c>
      <c r="T10" s="831">
        <f t="shared" si="4"/>
        <v>13.972602739726028</v>
      </c>
    </row>
    <row r="11" spans="2:20">
      <c r="B11" s="922">
        <v>45055</v>
      </c>
      <c r="C11" s="768">
        <v>500</v>
      </c>
      <c r="D11" s="831">
        <f t="shared" si="0"/>
        <v>0.68493150684931503</v>
      </c>
      <c r="F11" s="922">
        <v>45086</v>
      </c>
      <c r="G11" s="830">
        <v>585</v>
      </c>
      <c r="H11" s="831">
        <f t="shared" si="1"/>
        <v>0.80136986301369861</v>
      </c>
      <c r="J11" s="922">
        <v>45116</v>
      </c>
      <c r="K11" s="830">
        <v>610</v>
      </c>
      <c r="L11" s="831">
        <f t="shared" si="2"/>
        <v>0.83561643835616439</v>
      </c>
      <c r="N11" s="922">
        <v>45147</v>
      </c>
      <c r="O11" s="905">
        <v>685</v>
      </c>
      <c r="P11" s="831">
        <f t="shared" si="5"/>
        <v>0.93835616438356162</v>
      </c>
      <c r="R11" s="922">
        <v>45163</v>
      </c>
      <c r="S11">
        <v>0</v>
      </c>
      <c r="T11" s="831">
        <f t="shared" si="4"/>
        <v>0</v>
      </c>
    </row>
    <row r="12" spans="2:20">
      <c r="B12" s="922">
        <v>45056</v>
      </c>
      <c r="C12" s="768">
        <v>500</v>
      </c>
      <c r="D12" s="831">
        <f t="shared" si="0"/>
        <v>0.68493150684931503</v>
      </c>
      <c r="F12" s="922">
        <v>45087</v>
      </c>
      <c r="G12" s="830">
        <v>585</v>
      </c>
      <c r="H12" s="831">
        <f t="shared" si="1"/>
        <v>0.80136986301369861</v>
      </c>
      <c r="J12" s="922">
        <v>45117</v>
      </c>
      <c r="K12" s="767">
        <v>695</v>
      </c>
      <c r="L12" s="831">
        <f t="shared" si="2"/>
        <v>0.95205479452054798</v>
      </c>
      <c r="N12" s="922">
        <v>45148</v>
      </c>
      <c r="O12" s="767">
        <v>747</v>
      </c>
      <c r="P12" s="831">
        <f t="shared" si="5"/>
        <v>1.0232876712328767</v>
      </c>
      <c r="R12" s="922">
        <v>45162</v>
      </c>
      <c r="S12">
        <v>0</v>
      </c>
      <c r="T12" s="831">
        <f t="shared" si="4"/>
        <v>0</v>
      </c>
    </row>
    <row r="13" spans="2:20">
      <c r="B13" s="922">
        <v>45057</v>
      </c>
      <c r="C13" s="767">
        <v>515</v>
      </c>
      <c r="D13" s="831">
        <f t="shared" si="0"/>
        <v>0.70547945205479456</v>
      </c>
      <c r="F13" s="922">
        <v>45088</v>
      </c>
      <c r="G13" s="830">
        <v>585</v>
      </c>
      <c r="H13" s="831">
        <f t="shared" si="1"/>
        <v>0.80136986301369861</v>
      </c>
      <c r="J13" s="922">
        <v>45118</v>
      </c>
      <c r="K13" s="830">
        <v>730</v>
      </c>
      <c r="L13" s="831">
        <f t="shared" si="2"/>
        <v>1</v>
      </c>
      <c r="N13" s="922">
        <v>45149</v>
      </c>
      <c r="O13" s="767">
        <v>745</v>
      </c>
      <c r="P13" s="831">
        <f t="shared" si="5"/>
        <v>1.0205479452054795</v>
      </c>
      <c r="R13" s="923">
        <v>45161</v>
      </c>
      <c r="S13">
        <v>200</v>
      </c>
      <c r="T13" s="831">
        <f t="shared" si="4"/>
        <v>18.630136986301373</v>
      </c>
    </row>
    <row r="14" spans="2:20">
      <c r="B14" s="922">
        <v>45058</v>
      </c>
      <c r="C14" s="768">
        <v>515</v>
      </c>
      <c r="D14" s="831">
        <f t="shared" si="0"/>
        <v>0.70547945205479456</v>
      </c>
      <c r="F14" s="922">
        <v>45089</v>
      </c>
      <c r="G14" s="830">
        <v>585</v>
      </c>
      <c r="H14" s="831">
        <f t="shared" si="1"/>
        <v>0.80136986301369861</v>
      </c>
      <c r="J14" s="922">
        <v>45119</v>
      </c>
      <c r="K14" s="830">
        <v>730</v>
      </c>
      <c r="L14" s="831">
        <f t="shared" si="2"/>
        <v>1</v>
      </c>
      <c r="N14" s="922">
        <v>45150</v>
      </c>
      <c r="O14" s="905">
        <v>745</v>
      </c>
      <c r="P14" s="831">
        <f t="shared" si="5"/>
        <v>1.0205479452054795</v>
      </c>
      <c r="R14" s="922">
        <v>45160</v>
      </c>
      <c r="S14">
        <v>200</v>
      </c>
      <c r="T14" s="831">
        <f t="shared" si="4"/>
        <v>18.630136986301373</v>
      </c>
    </row>
    <row r="15" spans="2:20">
      <c r="B15" s="922">
        <v>45059</v>
      </c>
      <c r="C15" s="768">
        <v>515</v>
      </c>
      <c r="D15" s="831">
        <f t="shared" si="0"/>
        <v>0.70547945205479456</v>
      </c>
      <c r="F15" s="922">
        <v>45090</v>
      </c>
      <c r="G15" s="830">
        <v>585</v>
      </c>
      <c r="H15" s="831">
        <f t="shared" si="1"/>
        <v>0.80136986301369861</v>
      </c>
      <c r="J15" s="922">
        <v>45120</v>
      </c>
      <c r="K15" s="830">
        <v>730</v>
      </c>
      <c r="L15" s="831">
        <f t="shared" si="2"/>
        <v>1</v>
      </c>
      <c r="N15" s="922">
        <v>45151</v>
      </c>
      <c r="O15" s="905">
        <v>745</v>
      </c>
      <c r="P15" s="831">
        <f t="shared" si="5"/>
        <v>1.0205479452054795</v>
      </c>
      <c r="R15" s="922">
        <v>45159</v>
      </c>
      <c r="S15">
        <v>200</v>
      </c>
      <c r="T15" s="831">
        <f t="shared" si="4"/>
        <v>18.630136986301373</v>
      </c>
    </row>
    <row r="16" spans="2:20">
      <c r="B16" s="922">
        <v>45060</v>
      </c>
      <c r="C16" s="768">
        <v>515</v>
      </c>
      <c r="D16" s="831">
        <f t="shared" si="0"/>
        <v>0.70547945205479456</v>
      </c>
      <c r="F16" s="922">
        <v>45091</v>
      </c>
      <c r="G16" s="830">
        <v>585</v>
      </c>
      <c r="H16" s="831">
        <f t="shared" si="1"/>
        <v>0.80136986301369861</v>
      </c>
      <c r="J16" s="922">
        <v>45121</v>
      </c>
      <c r="K16" s="830">
        <v>730</v>
      </c>
      <c r="L16" s="831">
        <f t="shared" si="2"/>
        <v>1</v>
      </c>
      <c r="N16" s="922">
        <v>45152</v>
      </c>
      <c r="O16" s="905">
        <v>745</v>
      </c>
      <c r="P16" s="831">
        <f t="shared" si="5"/>
        <v>1.0205479452054795</v>
      </c>
      <c r="R16" s="922">
        <v>45158</v>
      </c>
      <c r="S16">
        <v>200</v>
      </c>
      <c r="T16" s="831">
        <f t="shared" si="4"/>
        <v>18.630136986301373</v>
      </c>
    </row>
    <row r="17" spans="2:20">
      <c r="B17" s="922">
        <v>45061</v>
      </c>
      <c r="C17" s="768">
        <v>515</v>
      </c>
      <c r="D17" s="831">
        <f t="shared" si="0"/>
        <v>0.70547945205479456</v>
      </c>
      <c r="F17" s="922">
        <v>45092</v>
      </c>
      <c r="G17" s="830">
        <v>585</v>
      </c>
      <c r="H17" s="831">
        <f t="shared" si="1"/>
        <v>0.80136986301369861</v>
      </c>
      <c r="J17" s="922">
        <v>45122</v>
      </c>
      <c r="K17" s="767">
        <v>730</v>
      </c>
      <c r="L17" s="831">
        <f t="shared" si="2"/>
        <v>1</v>
      </c>
      <c r="N17" s="922">
        <v>45153</v>
      </c>
      <c r="O17" s="905">
        <v>745</v>
      </c>
      <c r="P17" s="831">
        <f t="shared" si="5"/>
        <v>1.0205479452054795</v>
      </c>
      <c r="R17" s="922">
        <v>45157</v>
      </c>
      <c r="S17">
        <v>200</v>
      </c>
      <c r="T17" s="831">
        <f t="shared" si="4"/>
        <v>18.630136986301373</v>
      </c>
    </row>
    <row r="18" spans="2:20">
      <c r="B18" s="922">
        <v>45062</v>
      </c>
      <c r="C18" s="767">
        <v>540</v>
      </c>
      <c r="D18" s="831">
        <f t="shared" si="0"/>
        <v>0.73972602739726023</v>
      </c>
      <c r="F18" s="922">
        <v>45093</v>
      </c>
      <c r="G18" s="830">
        <v>585</v>
      </c>
      <c r="H18" s="831">
        <f t="shared" si="1"/>
        <v>0.80136986301369861</v>
      </c>
      <c r="J18" s="922">
        <v>45123</v>
      </c>
      <c r="K18" s="830">
        <v>730</v>
      </c>
      <c r="L18" s="831">
        <f t="shared" si="2"/>
        <v>1</v>
      </c>
      <c r="N18" s="922">
        <v>45154</v>
      </c>
      <c r="O18" s="767">
        <v>595</v>
      </c>
      <c r="P18" s="831">
        <f t="shared" si="5"/>
        <v>0.81506849315068497</v>
      </c>
      <c r="R18" s="922">
        <v>45156</v>
      </c>
      <c r="S18">
        <v>200</v>
      </c>
      <c r="T18" s="831">
        <f>S18*1000*3.4%/365</f>
        <v>18.630136986301373</v>
      </c>
    </row>
    <row r="19" spans="2:20">
      <c r="B19" s="922">
        <v>45063</v>
      </c>
      <c r="C19" s="767">
        <v>545</v>
      </c>
      <c r="D19" s="831">
        <f t="shared" si="0"/>
        <v>0.74657534246575341</v>
      </c>
      <c r="F19" s="922">
        <v>45094</v>
      </c>
      <c r="G19" s="830">
        <v>585</v>
      </c>
      <c r="H19" s="831">
        <f t="shared" si="1"/>
        <v>0.80136986301369861</v>
      </c>
      <c r="J19" s="922">
        <v>45124</v>
      </c>
      <c r="K19" s="840">
        <v>730</v>
      </c>
      <c r="L19" s="831">
        <f t="shared" si="2"/>
        <v>1</v>
      </c>
      <c r="N19" s="922">
        <v>45155</v>
      </c>
      <c r="O19" s="767">
        <v>735</v>
      </c>
      <c r="P19" s="831">
        <f t="shared" si="5"/>
        <v>1.0068493150684932</v>
      </c>
      <c r="R19" s="922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922">
        <v>45064</v>
      </c>
      <c r="C20" s="768">
        <v>545</v>
      </c>
      <c r="D20" s="831">
        <f t="shared" si="0"/>
        <v>0.74657534246575341</v>
      </c>
      <c r="F20" s="922">
        <v>45095</v>
      </c>
      <c r="G20" s="830">
        <v>585</v>
      </c>
      <c r="H20" s="831">
        <f t="shared" si="1"/>
        <v>0.80136986301369861</v>
      </c>
      <c r="J20" s="922">
        <v>45125</v>
      </c>
      <c r="K20" s="840">
        <v>730</v>
      </c>
      <c r="L20" s="831">
        <f t="shared" si="2"/>
        <v>1</v>
      </c>
      <c r="N20" s="922">
        <v>45156</v>
      </c>
      <c r="O20" s="767">
        <v>735</v>
      </c>
      <c r="P20" s="831">
        <f t="shared" si="5"/>
        <v>1.0068493150684932</v>
      </c>
      <c r="R20" s="922">
        <v>45154</v>
      </c>
      <c r="S20" s="907">
        <v>200</v>
      </c>
      <c r="T20" s="831">
        <f t="shared" si="6"/>
        <v>18.630136986301373</v>
      </c>
    </row>
    <row r="21" spans="2:20">
      <c r="B21" s="922">
        <v>45065</v>
      </c>
      <c r="C21" s="767">
        <v>545.79999999999995</v>
      </c>
      <c r="D21" s="831">
        <f t="shared" si="0"/>
        <v>0.74767123287671222</v>
      </c>
      <c r="F21" s="922">
        <v>45096</v>
      </c>
      <c r="G21" s="830">
        <v>585</v>
      </c>
      <c r="H21" s="831">
        <f t="shared" si="1"/>
        <v>0.80136986301369861</v>
      </c>
      <c r="J21" s="922">
        <v>45126</v>
      </c>
      <c r="K21" s="840">
        <v>730</v>
      </c>
      <c r="L21" s="831">
        <f t="shared" si="2"/>
        <v>1</v>
      </c>
      <c r="N21" s="922">
        <v>45157</v>
      </c>
      <c r="O21" s="908">
        <v>735</v>
      </c>
      <c r="P21" s="831">
        <f t="shared" si="5"/>
        <v>1.0068493150684932</v>
      </c>
      <c r="R21" s="922">
        <v>45153</v>
      </c>
      <c r="S21" s="907">
        <v>200</v>
      </c>
      <c r="T21" s="831">
        <f t="shared" si="6"/>
        <v>18.630136986301373</v>
      </c>
    </row>
    <row r="22" spans="2:20">
      <c r="B22" s="922">
        <v>45066</v>
      </c>
      <c r="C22" s="767">
        <v>545</v>
      </c>
      <c r="D22" s="831">
        <f t="shared" si="0"/>
        <v>0.74657534246575341</v>
      </c>
      <c r="F22" s="922">
        <v>45097</v>
      </c>
      <c r="G22" s="830">
        <v>585</v>
      </c>
      <c r="H22" s="831">
        <f t="shared" si="1"/>
        <v>0.80136986301369861</v>
      </c>
      <c r="J22" s="922">
        <v>45127</v>
      </c>
      <c r="K22" s="840">
        <v>730</v>
      </c>
      <c r="L22" s="831">
        <f t="shared" si="2"/>
        <v>1</v>
      </c>
      <c r="N22" s="922">
        <v>45158</v>
      </c>
      <c r="O22" s="908">
        <v>735</v>
      </c>
      <c r="P22" s="831">
        <f t="shared" si="5"/>
        <v>1.0068493150684932</v>
      </c>
      <c r="R22" s="922">
        <v>45152</v>
      </c>
      <c r="S22">
        <v>200</v>
      </c>
      <c r="T22" s="831">
        <f t="shared" si="6"/>
        <v>18.630136986301373</v>
      </c>
    </row>
    <row r="23" spans="2:20">
      <c r="B23" s="922">
        <v>45067</v>
      </c>
      <c r="C23" s="768">
        <v>545</v>
      </c>
      <c r="D23" s="831">
        <f>C23*1000*0.05%/365</f>
        <v>0.74657534246575341</v>
      </c>
      <c r="F23" s="922">
        <v>45098</v>
      </c>
      <c r="G23" s="830">
        <v>585</v>
      </c>
      <c r="H23" s="831">
        <f>G23*1000*0.05%/365</f>
        <v>0.80136986301369861</v>
      </c>
      <c r="J23" s="922">
        <v>45128</v>
      </c>
      <c r="K23" s="830">
        <v>735</v>
      </c>
      <c r="L23" s="831">
        <f>K23*1000*0.05%/365</f>
        <v>1.0068493150684932</v>
      </c>
      <c r="N23" s="922">
        <v>45159</v>
      </c>
      <c r="O23" s="767">
        <v>735</v>
      </c>
      <c r="P23" s="831">
        <f t="shared" si="5"/>
        <v>1.0068493150684932</v>
      </c>
      <c r="R23" s="922">
        <v>45151</v>
      </c>
      <c r="S23">
        <v>200</v>
      </c>
      <c r="T23" s="831">
        <f t="shared" si="6"/>
        <v>18.630136986301373</v>
      </c>
    </row>
    <row r="24" spans="2:20">
      <c r="B24" s="922">
        <v>45068</v>
      </c>
      <c r="C24" s="768">
        <v>545</v>
      </c>
      <c r="D24" s="831">
        <f t="shared" ref="D24:D32" si="7">C24*1000*0.05%/365</f>
        <v>0.74657534246575341</v>
      </c>
      <c r="F24" s="922">
        <v>45099</v>
      </c>
      <c r="G24" s="830">
        <v>585</v>
      </c>
      <c r="H24" s="831">
        <f t="shared" ref="H24:H32" si="8">G24*1000*0.05%/365</f>
        <v>0.80136986301369861</v>
      </c>
      <c r="J24" s="922">
        <v>45129</v>
      </c>
      <c r="K24" s="830">
        <v>735</v>
      </c>
      <c r="L24" s="831">
        <f t="shared" ref="L24:L32" si="9">K24*1000*0.05%/365</f>
        <v>1.0068493150684932</v>
      </c>
      <c r="N24" s="922">
        <v>45160</v>
      </c>
      <c r="O24" s="767">
        <v>735</v>
      </c>
      <c r="P24" s="831">
        <f t="shared" si="5"/>
        <v>1.0068493150684932</v>
      </c>
      <c r="R24" s="922">
        <v>45150</v>
      </c>
      <c r="S24">
        <v>200</v>
      </c>
      <c r="T24" s="831">
        <f t="shared" si="6"/>
        <v>18.630136986301373</v>
      </c>
    </row>
    <row r="25" spans="2:20" s="913" customFormat="1">
      <c r="B25" s="923">
        <v>45069</v>
      </c>
      <c r="C25" s="913">
        <v>545</v>
      </c>
      <c r="D25" s="915">
        <f t="shared" si="7"/>
        <v>0.74657534246575341</v>
      </c>
      <c r="F25" s="923">
        <v>45100</v>
      </c>
      <c r="G25" s="913">
        <v>585</v>
      </c>
      <c r="H25" s="915">
        <f t="shared" si="8"/>
        <v>0.80136986301369861</v>
      </c>
      <c r="J25" s="923">
        <v>45130</v>
      </c>
      <c r="K25" s="913">
        <v>735</v>
      </c>
      <c r="L25" s="915">
        <f t="shared" si="9"/>
        <v>1.0068493150684932</v>
      </c>
      <c r="N25" s="923">
        <v>45161</v>
      </c>
      <c r="O25" s="913">
        <v>738</v>
      </c>
      <c r="P25" s="915">
        <f t="shared" si="5"/>
        <v>1.010958904109589</v>
      </c>
      <c r="R25" s="923">
        <v>45149</v>
      </c>
      <c r="S25" s="913">
        <v>200</v>
      </c>
      <c r="T25" s="915">
        <f t="shared" si="6"/>
        <v>18.630136986301373</v>
      </c>
    </row>
    <row r="26" spans="2:20">
      <c r="B26" s="922">
        <v>45070</v>
      </c>
      <c r="C26" s="830">
        <v>550</v>
      </c>
      <c r="D26" s="831">
        <f t="shared" si="7"/>
        <v>0.75342465753424659</v>
      </c>
      <c r="F26" s="922">
        <v>45101</v>
      </c>
      <c r="G26" s="830">
        <v>585</v>
      </c>
      <c r="H26" s="831">
        <f t="shared" si="8"/>
        <v>0.80136986301369861</v>
      </c>
      <c r="J26" s="922">
        <v>45131</v>
      </c>
      <c r="K26" s="841">
        <v>735</v>
      </c>
      <c r="L26" s="831">
        <f t="shared" si="9"/>
        <v>1.0068493150684932</v>
      </c>
      <c r="N26" s="922">
        <v>45162</v>
      </c>
      <c r="O26" s="914">
        <v>738</v>
      </c>
      <c r="P26" s="831">
        <f t="shared" si="5"/>
        <v>1.010958904109589</v>
      </c>
      <c r="R26" s="922">
        <v>45148</v>
      </c>
      <c r="S26">
        <v>49</v>
      </c>
      <c r="T26" s="831">
        <f t="shared" si="6"/>
        <v>4.5643835616438366</v>
      </c>
    </row>
    <row r="27" spans="2:20">
      <c r="B27" s="922">
        <v>45071</v>
      </c>
      <c r="C27" s="830">
        <v>550</v>
      </c>
      <c r="D27" s="831">
        <f t="shared" si="7"/>
        <v>0.75342465753424659</v>
      </c>
      <c r="F27" s="922">
        <v>45102</v>
      </c>
      <c r="G27" s="830">
        <v>585</v>
      </c>
      <c r="H27" s="831">
        <f t="shared" si="8"/>
        <v>0.80136986301369861</v>
      </c>
      <c r="J27" s="922">
        <v>45132</v>
      </c>
      <c r="K27" s="842">
        <v>740</v>
      </c>
      <c r="L27" s="831">
        <f t="shared" si="9"/>
        <v>1.0136986301369864</v>
      </c>
      <c r="N27" s="922">
        <v>45163</v>
      </c>
      <c r="O27" s="916">
        <v>748</v>
      </c>
      <c r="P27" s="831">
        <f t="shared" si="5"/>
        <v>1.0246575342465754</v>
      </c>
      <c r="R27" s="922">
        <v>45147</v>
      </c>
      <c r="S27">
        <v>200</v>
      </c>
      <c r="T27" s="831">
        <f t="shared" si="6"/>
        <v>18.630136986301373</v>
      </c>
    </row>
    <row r="28" spans="2:20">
      <c r="B28" s="922">
        <v>45072</v>
      </c>
      <c r="C28" s="830">
        <v>550</v>
      </c>
      <c r="D28" s="831">
        <f t="shared" si="7"/>
        <v>0.75342465753424659</v>
      </c>
      <c r="F28" s="922">
        <v>45103</v>
      </c>
      <c r="G28" s="830">
        <v>585</v>
      </c>
      <c r="H28" s="831">
        <f t="shared" si="8"/>
        <v>0.80136986301369861</v>
      </c>
      <c r="J28" s="922">
        <v>45133</v>
      </c>
      <c r="K28" s="869">
        <v>740</v>
      </c>
      <c r="L28" s="831">
        <f t="shared" si="9"/>
        <v>1.0136986301369864</v>
      </c>
      <c r="N28" s="922">
        <v>45164</v>
      </c>
      <c r="O28" s="925">
        <v>749</v>
      </c>
      <c r="P28" s="831">
        <f t="shared" si="5"/>
        <v>1.026027397260274</v>
      </c>
      <c r="R28" s="922">
        <v>45146</v>
      </c>
      <c r="S28">
        <v>200</v>
      </c>
      <c r="T28" s="831">
        <f t="shared" si="6"/>
        <v>18.630136986301373</v>
      </c>
    </row>
    <row r="29" spans="2:20">
      <c r="B29" s="922">
        <v>45073</v>
      </c>
      <c r="C29" s="830">
        <v>550</v>
      </c>
      <c r="D29" s="831">
        <f t="shared" si="7"/>
        <v>0.75342465753424659</v>
      </c>
      <c r="F29" s="922">
        <v>45104</v>
      </c>
      <c r="G29" s="830">
        <v>585</v>
      </c>
      <c r="H29" s="831">
        <f t="shared" si="8"/>
        <v>0.80136986301369861</v>
      </c>
      <c r="J29" s="922">
        <v>45134</v>
      </c>
      <c r="K29" s="869">
        <v>740</v>
      </c>
      <c r="L29" s="831">
        <f t="shared" si="9"/>
        <v>1.0136986301369864</v>
      </c>
      <c r="N29" s="922">
        <v>45165</v>
      </c>
      <c r="P29" s="831">
        <f t="shared" si="5"/>
        <v>0</v>
      </c>
      <c r="R29" s="922">
        <v>45145</v>
      </c>
      <c r="S29">
        <v>0</v>
      </c>
      <c r="T29" s="831">
        <f t="shared" si="6"/>
        <v>0</v>
      </c>
    </row>
    <row r="30" spans="2:20">
      <c r="B30" s="922">
        <v>45074</v>
      </c>
      <c r="C30" s="830">
        <v>550</v>
      </c>
      <c r="D30" s="831">
        <f t="shared" si="7"/>
        <v>0.75342465753424659</v>
      </c>
      <c r="F30" s="922">
        <v>45105</v>
      </c>
      <c r="G30" s="830">
        <v>600</v>
      </c>
      <c r="H30" s="831">
        <f t="shared" si="8"/>
        <v>0.82191780821917804</v>
      </c>
      <c r="J30" s="922">
        <v>45135</v>
      </c>
      <c r="K30" s="869">
        <v>740</v>
      </c>
      <c r="L30" s="831">
        <f t="shared" si="9"/>
        <v>1.0136986301369864</v>
      </c>
      <c r="N30" s="922">
        <v>45166</v>
      </c>
      <c r="P30" s="831">
        <f t="shared" si="5"/>
        <v>0</v>
      </c>
      <c r="R30" s="922">
        <v>45144</v>
      </c>
      <c r="S30">
        <v>200</v>
      </c>
      <c r="T30" s="831">
        <f t="shared" si="6"/>
        <v>18.630136986301373</v>
      </c>
    </row>
    <row r="31" spans="2:20">
      <c r="B31" s="922">
        <v>45075</v>
      </c>
      <c r="C31" s="767">
        <v>550</v>
      </c>
      <c r="D31" s="831">
        <f t="shared" si="7"/>
        <v>0.75342465753424659</v>
      </c>
      <c r="F31" s="922">
        <v>45106</v>
      </c>
      <c r="G31" s="830">
        <v>600</v>
      </c>
      <c r="H31" s="831">
        <f t="shared" si="8"/>
        <v>0.82191780821917804</v>
      </c>
      <c r="J31" s="922">
        <v>45136</v>
      </c>
      <c r="K31" s="830">
        <v>750</v>
      </c>
      <c r="L31" s="831">
        <f t="shared" si="9"/>
        <v>1.0273972602739727</v>
      </c>
      <c r="N31" s="922">
        <v>45167</v>
      </c>
      <c r="P31" s="831">
        <f t="shared" si="5"/>
        <v>0</v>
      </c>
      <c r="R31" s="922">
        <v>45143</v>
      </c>
      <c r="S31">
        <v>85</v>
      </c>
      <c r="T31" s="831">
        <f t="shared" si="6"/>
        <v>7.9178082191780819</v>
      </c>
    </row>
    <row r="32" spans="2:20">
      <c r="B32" s="922">
        <v>45076</v>
      </c>
      <c r="C32" s="767">
        <v>585</v>
      </c>
      <c r="D32" s="831">
        <f t="shared" si="7"/>
        <v>0.80136986301369861</v>
      </c>
      <c r="F32" s="922">
        <v>45107</v>
      </c>
      <c r="G32" s="830">
        <v>600</v>
      </c>
      <c r="H32" s="831">
        <f t="shared" si="8"/>
        <v>0.82191780821917804</v>
      </c>
      <c r="J32" s="922">
        <v>45137</v>
      </c>
      <c r="K32" s="830">
        <v>750</v>
      </c>
      <c r="L32" s="831">
        <f t="shared" si="9"/>
        <v>1.0273972602739727</v>
      </c>
      <c r="N32" s="922">
        <v>45168</v>
      </c>
      <c r="P32" s="831">
        <f t="shared" si="5"/>
        <v>0</v>
      </c>
      <c r="R32" s="922">
        <v>45142</v>
      </c>
      <c r="S32" t="s">
        <v>3055</v>
      </c>
      <c r="T32" s="767"/>
    </row>
    <row r="33" spans="1:20">
      <c r="B33" s="922">
        <v>45077</v>
      </c>
      <c r="C33" s="767">
        <v>585</v>
      </c>
      <c r="D33" s="831">
        <f t="shared" ref="D33" si="10">C33*1000*0.05/100/365</f>
        <v>0.80136986301369861</v>
      </c>
      <c r="J33" s="922">
        <v>45138</v>
      </c>
      <c r="K33" s="830">
        <v>750</v>
      </c>
      <c r="L33" s="831">
        <f t="shared" ref="L33" si="11">K33*1000*0.05/100/365</f>
        <v>1.0273972602739727</v>
      </c>
      <c r="N33" s="922">
        <v>45169</v>
      </c>
      <c r="P33" s="831">
        <f t="shared" si="5"/>
        <v>0</v>
      </c>
      <c r="R33" s="922">
        <v>45141</v>
      </c>
      <c r="S33" s="907" t="s">
        <v>3055</v>
      </c>
      <c r="T33" s="767"/>
    </row>
    <row r="34" spans="1:20">
      <c r="R34" s="922">
        <v>45140</v>
      </c>
      <c r="S34" s="907" t="s">
        <v>3055</v>
      </c>
      <c r="T34" s="767"/>
    </row>
    <row r="35" spans="1:20">
      <c r="B35" s="922" t="s">
        <v>2924</v>
      </c>
      <c r="D35" s="407">
        <f>SUM(D3:D33)*88</f>
        <v>1895.7128767123286</v>
      </c>
      <c r="F35" s="922" t="s">
        <v>2924</v>
      </c>
      <c r="H35" s="407">
        <f>SUM(H3:H33)*88</f>
        <v>2121.0410958904108</v>
      </c>
      <c r="J35" s="922" t="s">
        <v>2924</v>
      </c>
      <c r="L35" s="407">
        <f>SUM(L3:L33)*88</f>
        <v>2597.8082191780818</v>
      </c>
      <c r="N35" s="922" t="s">
        <v>2924</v>
      </c>
      <c r="P35" s="407">
        <f>SUM(P3:P33)*88</f>
        <v>2283.7808219178082</v>
      </c>
      <c r="R35" s="922">
        <v>45139</v>
      </c>
      <c r="S35" s="907" t="s">
        <v>3055</v>
      </c>
      <c r="T35" s="767"/>
    </row>
    <row r="36" spans="1:20">
      <c r="A36" s="907"/>
      <c r="C36" s="907"/>
      <c r="D36" s="407"/>
      <c r="E36" s="907"/>
      <c r="G36" s="907"/>
      <c r="H36" s="407"/>
      <c r="I36" s="907"/>
      <c r="K36" s="907"/>
      <c r="L36" s="407"/>
      <c r="M36" s="907"/>
      <c r="O36" s="907"/>
      <c r="P36" s="407"/>
      <c r="R36" s="922" t="s">
        <v>2924</v>
      </c>
      <c r="T36" s="831">
        <f>SUM(T5:T35)</f>
        <v>324.53698630136989</v>
      </c>
    </row>
    <row r="37" spans="1:20" s="907" customFormat="1">
      <c r="A37"/>
      <c r="B37" s="922"/>
      <c r="C37"/>
      <c r="D37"/>
      <c r="E37"/>
      <c r="F37" s="922"/>
      <c r="G37" s="767"/>
      <c r="H37" s="767"/>
      <c r="I37" s="767"/>
      <c r="J37" s="922"/>
      <c r="K37" s="767"/>
      <c r="L37" s="767"/>
      <c r="M37" s="767"/>
      <c r="N37" s="922"/>
      <c r="O37" s="767"/>
      <c r="P37" s="767"/>
      <c r="R37" s="922"/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32"/>
  <sheetViews>
    <sheetView zoomScaleNormal="100" workbookViewId="0">
      <selection activeCell="I34" sqref="I34"/>
    </sheetView>
  </sheetViews>
  <sheetFormatPr defaultColWidth="9.109375" defaultRowHeight="13.8"/>
  <cols>
    <col min="1" max="1" width="1.109375" style="548" customWidth="1"/>
    <col min="2" max="3" width="4.5546875" style="548" bestFit="1" customWidth="1"/>
    <col min="4" max="4" width="4.6640625" style="548" bestFit="1" customWidth="1"/>
    <col min="5" max="5" width="7.5546875" style="548" bestFit="1" customWidth="1"/>
    <col min="6" max="6" width="7.44140625" style="548" bestFit="1" customWidth="1"/>
    <col min="7" max="7" width="11.5546875" style="557" bestFit="1" customWidth="1"/>
    <col min="8" max="8" width="4" style="548" bestFit="1" customWidth="1"/>
    <col min="9" max="9" width="5.44140625" style="548" customWidth="1"/>
    <col min="10" max="10" width="6.88671875" style="548" bestFit="1" customWidth="1"/>
    <col min="11" max="11" width="4.33203125" style="548" bestFit="1" customWidth="1"/>
    <col min="12" max="12" width="1.5546875" style="548" customWidth="1"/>
    <col min="13" max="13" width="4.33203125" style="548" customWidth="1"/>
    <col min="14" max="14" width="9.44140625" style="548" bestFit="1" customWidth="1"/>
    <col min="15" max="15" width="45.33203125" style="548" customWidth="1"/>
    <col min="16" max="16" width="8.5546875" style="548" bestFit="1" customWidth="1"/>
    <col min="17" max="17" width="6.109375" style="548" customWidth="1"/>
    <col min="18" max="18" width="20.88671875" style="548" bestFit="1" customWidth="1"/>
    <col min="19" max="19" width="12.6640625" style="548" bestFit="1" customWidth="1"/>
    <col min="20" max="16384" width="9.109375" style="548"/>
  </cols>
  <sheetData>
    <row r="1" spans="2:16">
      <c r="I1" s="549"/>
    </row>
    <row r="2" spans="2:16" s="622" customFormat="1">
      <c r="B2" s="1028" t="s">
        <v>1875</v>
      </c>
      <c r="C2" s="1028"/>
      <c r="D2" s="1028"/>
      <c r="E2" s="1007" t="s">
        <v>2497</v>
      </c>
      <c r="F2" s="1007" t="s">
        <v>2519</v>
      </c>
      <c r="G2" s="689"/>
      <c r="H2" s="1018"/>
      <c r="I2" s="1006" t="s">
        <v>2624</v>
      </c>
      <c r="J2" s="1006"/>
      <c r="K2" s="1009" t="s">
        <v>2621</v>
      </c>
      <c r="L2" s="1009" t="s">
        <v>2543</v>
      </c>
      <c r="M2" s="1007" t="s">
        <v>2502</v>
      </c>
      <c r="N2" s="1012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1008"/>
      <c r="F3" s="1008"/>
      <c r="G3" s="693"/>
      <c r="H3" s="1019"/>
      <c r="I3" s="694" t="s">
        <v>2586</v>
      </c>
      <c r="J3" s="695" t="s">
        <v>2211</v>
      </c>
      <c r="K3" s="1010"/>
      <c r="L3" s="1010"/>
      <c r="M3" s="1008"/>
      <c r="N3" s="1012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1023" t="s">
        <v>2500</v>
      </c>
      <c r="D10" s="1023"/>
      <c r="E10" s="1023"/>
      <c r="F10" s="1023"/>
      <c r="G10" s="1023"/>
      <c r="H10" s="1023"/>
      <c r="I10" s="1023"/>
      <c r="J10" s="1023"/>
      <c r="K10" s="1023"/>
      <c r="L10" s="1023"/>
      <c r="M10" s="1023"/>
      <c r="N10" s="1023"/>
      <c r="O10" s="1023"/>
      <c r="P10" s="1023"/>
    </row>
    <row r="11" spans="2:16" ht="12.75" customHeight="1">
      <c r="B11" s="564"/>
      <c r="C11" s="556" t="s">
        <v>2515</v>
      </c>
      <c r="D11" s="554"/>
      <c r="E11" s="1013" t="s">
        <v>2497</v>
      </c>
      <c r="F11" s="1013" t="s">
        <v>2519</v>
      </c>
      <c r="G11" s="558"/>
      <c r="H11" s="1016" t="s">
        <v>2508</v>
      </c>
      <c r="I11" s="1020" t="s">
        <v>2742</v>
      </c>
      <c r="J11" s="1024" t="s">
        <v>2622</v>
      </c>
      <c r="K11" s="1024"/>
      <c r="L11" s="1025"/>
      <c r="M11" s="1013" t="s">
        <v>2743</v>
      </c>
      <c r="N11" s="1015" t="s">
        <v>2509</v>
      </c>
    </row>
    <row r="12" spans="2:16">
      <c r="B12" s="564"/>
      <c r="C12" s="550" t="s">
        <v>1873</v>
      </c>
      <c r="D12" s="551" t="s">
        <v>2412</v>
      </c>
      <c r="E12" s="1014"/>
      <c r="F12" s="1014"/>
      <c r="G12" s="560"/>
      <c r="H12" s="1017"/>
      <c r="I12" s="1021"/>
      <c r="J12" s="697" t="s">
        <v>2517</v>
      </c>
      <c r="K12" s="561" t="s">
        <v>1874</v>
      </c>
      <c r="L12" s="1026"/>
      <c r="M12" s="1014"/>
      <c r="N12" s="1015"/>
    </row>
    <row r="13" spans="2:16" s="622" customFormat="1">
      <c r="B13" s="1027">
        <v>8</v>
      </c>
      <c r="C13" s="1027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1022" t="s">
        <v>2501</v>
      </c>
      <c r="D19" s="1022"/>
      <c r="E19" s="1022"/>
      <c r="F19" s="1022"/>
      <c r="G19" s="1022"/>
      <c r="H19" s="1022"/>
      <c r="I19" s="1022"/>
      <c r="J19" s="1022"/>
      <c r="K19" s="1022"/>
      <c r="L19" s="1022"/>
      <c r="M19" s="1022"/>
      <c r="N19" s="1022"/>
      <c r="O19" s="1022"/>
      <c r="P19" s="1022"/>
    </row>
    <row r="20" spans="2:18" s="729" customFormat="1">
      <c r="B20" s="741"/>
      <c r="G20" s="1011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1011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1011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K35"/>
  <sheetViews>
    <sheetView workbookViewId="0">
      <selection activeCell="D34" sqref="D34:E34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9.109375" style="580"/>
    <col min="4" max="4" width="10.44140625" style="735" bestFit="1" customWidth="1"/>
    <col min="5" max="5" width="6.33203125" style="580" bestFit="1" customWidth="1"/>
    <col min="6" max="6" width="6.33203125" style="580" customWidth="1"/>
    <col min="7" max="7" width="9.109375" style="580"/>
    <col min="8" max="8" width="9.6640625" style="580" bestFit="1" customWidth="1"/>
    <col min="9" max="9" width="12" style="580" bestFit="1" customWidth="1"/>
    <col min="10" max="10" width="9.88671875" style="580" bestFit="1" customWidth="1"/>
    <col min="11" max="16384" width="9.10937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29">
        <f>SUMPRODUCT(D4:D33,E4:E33)/365</f>
        <v>25.715295438356168</v>
      </c>
      <c r="E34" s="1029"/>
      <c r="F34" s="773"/>
    </row>
    <row r="35" spans="2:11">
      <c r="B35" s="772" t="s">
        <v>2809</v>
      </c>
      <c r="D35" s="1029" t="s">
        <v>2797</v>
      </c>
      <c r="E35" s="1029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K36"/>
  <sheetViews>
    <sheetView workbookViewId="0">
      <selection activeCell="L21" sqref="L21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11.33203125" style="580" bestFit="1" customWidth="1"/>
    <col min="4" max="4" width="12.44140625" style="821" bestFit="1" customWidth="1"/>
    <col min="5" max="5" width="6.33203125" style="580" bestFit="1" customWidth="1"/>
    <col min="6" max="6" width="6.33203125" style="580" customWidth="1"/>
    <col min="7" max="7" width="7.109375" style="580" bestFit="1" customWidth="1"/>
    <col min="8" max="8" width="9.6640625" style="580" bestFit="1" customWidth="1"/>
    <col min="9" max="9" width="10.109375" style="580" customWidth="1"/>
    <col min="10" max="10" width="9.88671875" style="580" bestFit="1" customWidth="1"/>
    <col min="11" max="11" width="7" style="580" bestFit="1" customWidth="1"/>
    <col min="12" max="16384" width="9.109375" style="580"/>
  </cols>
  <sheetData>
    <row r="2" spans="2:10">
      <c r="B2" s="734" t="s">
        <v>2787</v>
      </c>
      <c r="C2" s="734"/>
      <c r="D2" s="821" t="s">
        <v>2993</v>
      </c>
    </row>
    <row r="3" spans="2:10" ht="14.4">
      <c r="B3" s="242">
        <f t="shared" ref="B3:B33" si="0">MIN(D3,100000)</f>
        <v>100000</v>
      </c>
      <c r="C3" s="921">
        <v>45169</v>
      </c>
      <c r="D3" s="820"/>
      <c r="E3" s="737">
        <f>VLOOKUP(D3,$H$5:$I$8,2)</f>
        <v>1.5E-3</v>
      </c>
    </row>
    <row r="4" spans="2:10" ht="14.4">
      <c r="B4" s="242">
        <f t="shared" si="0"/>
        <v>100000</v>
      </c>
      <c r="C4" s="921">
        <v>45168</v>
      </c>
      <c r="D4" s="868"/>
      <c r="E4" s="737">
        <f>VLOOKUP(D4,$H$5:$I$8,2)</f>
        <v>1.5E-3</v>
      </c>
      <c r="F4" s="737"/>
      <c r="H4" s="219" t="s">
        <v>2892</v>
      </c>
      <c r="I4" s="219" t="s">
        <v>2891</v>
      </c>
      <c r="J4" s="219" t="s">
        <v>2893</v>
      </c>
    </row>
    <row r="5" spans="2:10" ht="14.4">
      <c r="B5" s="242">
        <f t="shared" si="0"/>
        <v>100000</v>
      </c>
      <c r="C5" s="921">
        <v>45167</v>
      </c>
      <c r="D5" s="868"/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2895</v>
      </c>
    </row>
    <row r="6" spans="2:10" ht="14.4">
      <c r="B6" s="242">
        <f t="shared" si="0"/>
        <v>100000</v>
      </c>
      <c r="C6" s="921">
        <v>45166</v>
      </c>
      <c r="D6" s="868"/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4">
      <c r="B7" s="242">
        <f t="shared" si="0"/>
        <v>100000</v>
      </c>
      <c r="C7" s="921">
        <v>45165</v>
      </c>
      <c r="D7" s="868"/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4">
      <c r="B8" s="242">
        <f t="shared" si="0"/>
        <v>100000</v>
      </c>
      <c r="C8" s="921">
        <v>45164</v>
      </c>
      <c r="D8" s="868">
        <v>100455.15</v>
      </c>
      <c r="E8" s="737">
        <f>VLOOKUP(D8,$H$5:$I$8,2)</f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4">
      <c r="B9" s="242">
        <f t="shared" si="0"/>
        <v>454.14</v>
      </c>
      <c r="C9" s="921">
        <v>45163</v>
      </c>
      <c r="D9" s="868">
        <v>454.14</v>
      </c>
      <c r="E9" s="737">
        <f t="shared" si="1"/>
        <v>1.5E-3</v>
      </c>
      <c r="F9" s="737"/>
      <c r="H9" s="219"/>
      <c r="I9" s="219"/>
      <c r="J9" s="219"/>
    </row>
    <row r="10" spans="2:10" ht="14.4">
      <c r="B10" s="242">
        <f t="shared" si="0"/>
        <v>100000</v>
      </c>
      <c r="C10" s="921">
        <v>45162</v>
      </c>
      <c r="D10" s="868">
        <v>100709.15</v>
      </c>
      <c r="E10" s="737">
        <f t="shared" si="1"/>
        <v>4.0000000000000001E-3</v>
      </c>
      <c r="F10" s="737"/>
    </row>
    <row r="11" spans="2:10" ht="14.4">
      <c r="B11" s="242">
        <f t="shared" si="0"/>
        <v>50719.17</v>
      </c>
      <c r="C11" s="921">
        <v>45161</v>
      </c>
      <c r="D11" s="868">
        <v>50719.17</v>
      </c>
      <c r="E11" s="737">
        <f>VLOOKUP(D11,$H$5:$I$8,2)</f>
        <v>3.0000000000000001E-3</v>
      </c>
      <c r="F11" s="737"/>
    </row>
    <row r="12" spans="2:10" ht="14.4">
      <c r="B12" s="242">
        <f t="shared" si="0"/>
        <v>51720.160000000003</v>
      </c>
      <c r="C12" s="921">
        <v>45160</v>
      </c>
      <c r="D12" s="868">
        <v>51720.160000000003</v>
      </c>
      <c r="E12" s="737">
        <f t="shared" si="1"/>
        <v>3.0000000000000001E-3</v>
      </c>
      <c r="F12" s="737"/>
    </row>
    <row r="13" spans="2:10" ht="14.4">
      <c r="B13" s="242">
        <f t="shared" si="0"/>
        <v>1720.16</v>
      </c>
      <c r="C13" s="921">
        <v>45159</v>
      </c>
      <c r="D13" s="868">
        <v>1720.16</v>
      </c>
      <c r="E13" s="737">
        <f t="shared" si="1"/>
        <v>1.5E-3</v>
      </c>
      <c r="F13" s="737"/>
    </row>
    <row r="14" spans="2:10" ht="14.4">
      <c r="B14" s="242">
        <f t="shared" si="0"/>
        <v>100000</v>
      </c>
      <c r="C14" s="921">
        <v>45158</v>
      </c>
      <c r="D14" s="868">
        <v>101718.12</v>
      </c>
      <c r="E14" s="737">
        <f t="shared" si="1"/>
        <v>4.0000000000000001E-3</v>
      </c>
      <c r="F14" s="737"/>
    </row>
    <row r="15" spans="2:10" ht="14.4">
      <c r="B15" s="242">
        <f t="shared" si="0"/>
        <v>51719.12</v>
      </c>
      <c r="C15" s="921">
        <v>45157</v>
      </c>
      <c r="D15" s="868">
        <v>51719.12</v>
      </c>
      <c r="E15" s="737">
        <f t="shared" si="1"/>
        <v>3.0000000000000001E-3</v>
      </c>
      <c r="F15" s="737"/>
    </row>
    <row r="16" spans="2:10" ht="14.4">
      <c r="B16" s="242">
        <f t="shared" si="0"/>
        <v>51720.12</v>
      </c>
      <c r="C16" s="921">
        <v>45156</v>
      </c>
      <c r="D16" s="868">
        <v>51720.12</v>
      </c>
      <c r="E16" s="737">
        <f t="shared" si="1"/>
        <v>3.0000000000000001E-3</v>
      </c>
      <c r="F16" s="737"/>
    </row>
    <row r="17" spans="2:11" ht="14.4">
      <c r="B17" s="242">
        <f t="shared" si="0"/>
        <v>1720.21</v>
      </c>
      <c r="C17" s="921">
        <v>45155</v>
      </c>
      <c r="D17" s="868">
        <v>1720.21</v>
      </c>
      <c r="E17" s="737">
        <f t="shared" si="1"/>
        <v>1.5E-3</v>
      </c>
      <c r="F17" s="737"/>
    </row>
    <row r="18" spans="2:11" ht="14.4">
      <c r="B18" s="242">
        <f t="shared" si="0"/>
        <v>51720.21</v>
      </c>
      <c r="C18" s="921">
        <v>45154</v>
      </c>
      <c r="D18" s="868">
        <v>51720.21</v>
      </c>
      <c r="E18" s="737">
        <f t="shared" si="1"/>
        <v>3.0000000000000001E-3</v>
      </c>
      <c r="F18" s="737"/>
    </row>
    <row r="19" spans="2:11" ht="14.4">
      <c r="B19" s="242">
        <f t="shared" si="0"/>
        <v>52020.22</v>
      </c>
      <c r="C19" s="921">
        <v>45153</v>
      </c>
      <c r="D19" s="868">
        <v>52020.22</v>
      </c>
      <c r="E19" s="737">
        <f>VLOOKUP(D19,$H$5:$I$8,2)</f>
        <v>3.0000000000000001E-3</v>
      </c>
      <c r="F19" s="737"/>
    </row>
    <row r="20" spans="2:11" ht="14.4">
      <c r="B20" s="242">
        <f t="shared" si="0"/>
        <v>2022.21</v>
      </c>
      <c r="C20" s="921">
        <v>45152</v>
      </c>
      <c r="D20" s="868">
        <v>2022.21</v>
      </c>
      <c r="E20" s="737">
        <f t="shared" si="1"/>
        <v>1.5E-3</v>
      </c>
      <c r="F20" s="737"/>
    </row>
    <row r="21" spans="2:11" ht="14.4">
      <c r="B21" s="242">
        <f t="shared" si="0"/>
        <v>1821.47</v>
      </c>
      <c r="C21" s="921">
        <v>45151</v>
      </c>
      <c r="D21" s="868">
        <v>1821.47</v>
      </c>
      <c r="E21" s="737">
        <f t="shared" si="1"/>
        <v>1.5E-3</v>
      </c>
      <c r="F21" s="737"/>
    </row>
    <row r="22" spans="2:11" ht="14.4">
      <c r="B22" s="242">
        <f t="shared" si="0"/>
        <v>1821.47</v>
      </c>
      <c r="C22" s="921">
        <v>45150</v>
      </c>
      <c r="D22" s="868">
        <v>1821.47</v>
      </c>
      <c r="E22" s="737">
        <f t="shared" si="1"/>
        <v>1.5E-3</v>
      </c>
      <c r="F22" s="737"/>
    </row>
    <row r="23" spans="2:11" ht="14.4">
      <c r="B23" s="242">
        <f t="shared" si="0"/>
        <v>1821.47</v>
      </c>
      <c r="C23" s="921">
        <v>45149</v>
      </c>
      <c r="D23" s="868">
        <v>1821.47</v>
      </c>
      <c r="E23" s="737">
        <f t="shared" si="1"/>
        <v>1.5E-3</v>
      </c>
      <c r="F23" s="737"/>
    </row>
    <row r="24" spans="2:11" ht="14.4">
      <c r="B24" s="242">
        <f t="shared" si="0"/>
        <v>100000</v>
      </c>
      <c r="C24" s="921">
        <v>45148</v>
      </c>
      <c r="D24" s="868">
        <v>100823.48</v>
      </c>
      <c r="E24" s="737">
        <f t="shared" si="1"/>
        <v>4.0000000000000001E-3</v>
      </c>
      <c r="F24" s="737"/>
    </row>
    <row r="25" spans="2:11" ht="14.4">
      <c r="B25" s="242">
        <f t="shared" si="0"/>
        <v>100000</v>
      </c>
      <c r="C25" s="921">
        <v>45147</v>
      </c>
      <c r="D25" s="868">
        <v>100086.66</v>
      </c>
      <c r="E25" s="737">
        <f t="shared" si="1"/>
        <v>4.0000000000000001E-3</v>
      </c>
      <c r="F25" s="737"/>
    </row>
    <row r="26" spans="2:11" ht="14.4">
      <c r="B26" s="242">
        <f t="shared" si="0"/>
        <v>51086.66</v>
      </c>
      <c r="C26" s="921">
        <v>45146</v>
      </c>
      <c r="D26" s="868">
        <v>51086.66</v>
      </c>
      <c r="E26" s="737">
        <f t="shared" si="1"/>
        <v>3.0000000000000001E-3</v>
      </c>
      <c r="F26" s="737"/>
    </row>
    <row r="27" spans="2:11" ht="14.4">
      <c r="B27" s="242">
        <f t="shared" si="0"/>
        <v>100000</v>
      </c>
      <c r="C27" s="921">
        <v>45145</v>
      </c>
      <c r="D27" s="868">
        <v>100090.98</v>
      </c>
      <c r="E27" s="737">
        <f t="shared" si="1"/>
        <v>4.0000000000000001E-3</v>
      </c>
      <c r="F27" s="737"/>
    </row>
    <row r="28" spans="2:11" ht="14.4">
      <c r="B28" s="242">
        <f t="shared" si="0"/>
        <v>100000</v>
      </c>
      <c r="C28" s="921">
        <v>45144</v>
      </c>
      <c r="D28" s="868">
        <v>100900.31</v>
      </c>
      <c r="E28" s="737">
        <f t="shared" si="1"/>
        <v>4.0000000000000001E-3</v>
      </c>
      <c r="F28" s="737"/>
    </row>
    <row r="29" spans="2:11" ht="14.4">
      <c r="B29" s="242">
        <f t="shared" si="0"/>
        <v>100000</v>
      </c>
      <c r="C29" s="921">
        <v>45143</v>
      </c>
      <c r="D29" s="868">
        <v>100880.3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4">
      <c r="B30" s="242">
        <f t="shared" si="0"/>
        <v>100000</v>
      </c>
      <c r="C30" s="921">
        <v>45142</v>
      </c>
      <c r="D30" s="868">
        <v>101201.05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4">
      <c r="B31" s="242">
        <f t="shared" si="0"/>
        <v>100000</v>
      </c>
      <c r="C31" s="921">
        <v>45141</v>
      </c>
      <c r="D31" s="868">
        <v>101201.92</v>
      </c>
      <c r="E31" s="737">
        <f t="shared" si="1"/>
        <v>4.0000000000000001E-3</v>
      </c>
      <c r="F31" s="737"/>
      <c r="H31" s="739">
        <f>$B$35</f>
        <v>66841.509354838709</v>
      </c>
      <c r="I31" s="739">
        <f>$B$35</f>
        <v>66841.509354838709</v>
      </c>
      <c r="J31" s="739">
        <f>$B$35</f>
        <v>66841.509354838709</v>
      </c>
    </row>
    <row r="32" spans="2:11" ht="14.4">
      <c r="B32" s="242">
        <f t="shared" si="0"/>
        <v>100000</v>
      </c>
      <c r="C32" s="921">
        <v>45140</v>
      </c>
      <c r="D32" s="868">
        <v>101200.89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4">
      <c r="B33" s="242">
        <f t="shared" si="0"/>
        <v>100000</v>
      </c>
      <c r="C33" s="921">
        <v>45139</v>
      </c>
      <c r="D33" s="868">
        <v>100401.72</v>
      </c>
      <c r="E33" s="737">
        <f t="shared" si="1"/>
        <v>4.0000000000000001E-3</v>
      </c>
      <c r="F33" s="737"/>
      <c r="H33" s="580">
        <f>H30*H31/365*31</f>
        <v>141.92375273972601</v>
      </c>
      <c r="I33" s="580">
        <f>I30*I31/365*31</f>
        <v>51.092550986301362</v>
      </c>
      <c r="J33" s="580">
        <f>J30*J31/365*31</f>
        <v>28.384750547945206</v>
      </c>
      <c r="K33" s="739">
        <f>D35</f>
        <v>16.268130397260276</v>
      </c>
    </row>
    <row r="34" spans="2:11">
      <c r="B34" s="242"/>
      <c r="C34" s="736"/>
      <c r="D34" s="774"/>
      <c r="E34" s="737"/>
      <c r="F34" s="737"/>
      <c r="G34" s="580" t="s">
        <v>2804</v>
      </c>
    </row>
    <row r="35" spans="2:11">
      <c r="B35" s="739">
        <f>AVERAGE(B3:B33)</f>
        <v>66841.509354838709</v>
      </c>
      <c r="D35" s="1029">
        <f>SUMPRODUCT(D3:D33,E3:E33)/365</f>
        <v>16.268130397260276</v>
      </c>
      <c r="E35" s="1029"/>
      <c r="F35" s="740"/>
    </row>
    <row r="36" spans="2:11">
      <c r="B36" s="734" t="s">
        <v>2809</v>
      </c>
      <c r="D36" s="1029" t="s">
        <v>2797</v>
      </c>
      <c r="E36" s="1029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26"/>
  <sheetViews>
    <sheetView workbookViewId="0">
      <selection activeCell="I24" sqref="I24"/>
    </sheetView>
  </sheetViews>
  <sheetFormatPr defaultRowHeight="13.2"/>
  <cols>
    <col min="1" max="1" width="0.88671875" style="672" customWidth="1"/>
    <col min="2" max="2" width="6.5546875" bestFit="1" customWidth="1"/>
    <col min="3" max="3" width="7.5546875" bestFit="1" customWidth="1"/>
    <col min="4" max="4" width="6.5546875" bestFit="1" customWidth="1"/>
    <col min="5" max="5" width="9.33203125" style="672" bestFit="1" customWidth="1"/>
    <col min="6" max="6" width="5.5546875" style="702" bestFit="1" customWidth="1"/>
    <col min="7" max="8" width="9.6640625" bestFit="1" customWidth="1"/>
    <col min="9" max="9" width="21.109375" bestFit="1" customWidth="1"/>
  </cols>
  <sheetData>
    <row r="2" spans="2:9" s="672" customFormat="1" ht="26.4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3.8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3.8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3.8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3.8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3.8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3.8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3.8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3.8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2947</v>
      </c>
    </row>
    <row r="16" spans="2:9" ht="13.8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3.8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3.8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3.8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3.8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3.8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3.8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2946</v>
      </c>
    </row>
    <row r="23" spans="2:9" ht="13.8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2951</v>
      </c>
    </row>
    <row r="24" spans="2:9" s="836" customFormat="1" ht="13.8">
      <c r="B24" s="227"/>
      <c r="C24" s="63"/>
      <c r="D24" s="63"/>
      <c r="E24" s="63"/>
      <c r="F24" s="706"/>
      <c r="G24" s="63"/>
      <c r="H24" s="63"/>
      <c r="I24" s="63"/>
    </row>
    <row r="25" spans="2:9" s="836" customFormat="1" ht="13.8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D10"/>
  <sheetViews>
    <sheetView workbookViewId="0">
      <selection activeCell="D10" sqref="D10"/>
    </sheetView>
  </sheetViews>
  <sheetFormatPr defaultRowHeight="13.2"/>
  <cols>
    <col min="1" max="1" width="11.109375" style="819" bestFit="1" customWidth="1"/>
    <col min="2" max="2" width="6.6640625" bestFit="1" customWidth="1"/>
    <col min="3" max="3" width="7.33203125" bestFit="1" customWidth="1"/>
    <col min="4" max="4" width="13.33203125" bestFit="1" customWidth="1"/>
  </cols>
  <sheetData>
    <row r="2" spans="1:4" ht="26.4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4"/>
  <sheetViews>
    <sheetView workbookViewId="0">
      <selection activeCell="I48" sqref="I48"/>
    </sheetView>
  </sheetViews>
  <sheetFormatPr defaultRowHeight="13.2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E23"/>
  <sheetViews>
    <sheetView workbookViewId="0">
      <selection activeCell="C19" sqref="C19"/>
    </sheetView>
  </sheetViews>
  <sheetFormatPr defaultColWidth="9.109375" defaultRowHeight="14.4"/>
  <cols>
    <col min="1" max="1" width="1.6640625" style="373" customWidth="1"/>
    <col min="2" max="2" width="26.88671875" style="373" bestFit="1" customWidth="1"/>
    <col min="3" max="3" width="17.88671875" style="383" bestFit="1" customWidth="1"/>
    <col min="4" max="4" width="10" style="373" bestFit="1" customWidth="1"/>
    <col min="5" max="16384" width="9.109375" style="373"/>
  </cols>
  <sheetData>
    <row r="2" spans="2:5">
      <c r="B2" s="373" t="s">
        <v>1885</v>
      </c>
    </row>
    <row r="3" spans="2:5">
      <c r="B3" s="373" t="s">
        <v>1884</v>
      </c>
      <c r="C3" s="1030" t="s">
        <v>1897</v>
      </c>
      <c r="D3" s="1030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8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09375" defaultRowHeight="15.6"/>
  <cols>
    <col min="1" max="1" width="1.109375" style="364" customWidth="1"/>
    <col min="2" max="2" width="4.109375" style="426" customWidth="1"/>
    <col min="3" max="3" width="4.88671875" style="426" customWidth="1"/>
    <col min="4" max="4" width="4.5546875" style="364" bestFit="1" customWidth="1"/>
    <col min="5" max="5" width="7.88671875" style="364" bestFit="1" customWidth="1"/>
    <col min="6" max="6" width="4.6640625" style="426" bestFit="1" customWidth="1"/>
    <col min="7" max="7" width="5.5546875" style="426" bestFit="1" customWidth="1"/>
    <col min="8" max="8" width="8.33203125" style="377" bestFit="1" customWidth="1"/>
    <col min="9" max="10" width="6.6640625" style="365" bestFit="1" customWidth="1"/>
    <col min="11" max="11" width="1.88671875" style="365" customWidth="1"/>
    <col min="12" max="13" width="4.5546875" style="364" bestFit="1" customWidth="1"/>
    <col min="14" max="14" width="8" style="426" bestFit="1" customWidth="1"/>
    <col min="15" max="15" width="6.109375" style="364" bestFit="1" customWidth="1"/>
    <col min="16" max="16" width="0.6640625" style="426" customWidth="1"/>
    <col min="17" max="17" width="11.5546875" style="426" customWidth="1"/>
    <col min="18" max="18" width="5.109375" style="364" bestFit="1" customWidth="1"/>
    <col min="19" max="19" width="14" style="364" customWidth="1"/>
    <col min="20" max="20" width="7.88671875" style="364" bestFit="1" customWidth="1"/>
    <col min="21" max="21" width="6.88671875" style="364" customWidth="1"/>
    <col min="22" max="22" width="6.109375" style="364" customWidth="1"/>
    <col min="23" max="23" width="7.6640625" style="364" bestFit="1" customWidth="1"/>
    <col min="24" max="24" width="6.109375" style="364" customWidth="1"/>
    <col min="25" max="25" width="9.109375" style="364"/>
    <col min="26" max="26" width="6.109375" style="364" customWidth="1"/>
    <col min="27" max="16384" width="9.109375" style="364"/>
  </cols>
  <sheetData>
    <row r="1" spans="2:28" ht="5.25" customHeight="1">
      <c r="L1" s="365"/>
    </row>
    <row r="2" spans="2:28" ht="15.75" customHeight="1">
      <c r="B2" s="1031" t="s">
        <v>2079</v>
      </c>
      <c r="C2" s="1031"/>
      <c r="D2" s="1032" t="s">
        <v>1875</v>
      </c>
      <c r="E2" s="1032"/>
      <c r="F2" s="471"/>
      <c r="G2" s="471"/>
      <c r="H2" s="378"/>
      <c r="I2" s="1035" t="s">
        <v>2256</v>
      </c>
      <c r="J2" s="1036"/>
      <c r="K2" s="1036"/>
      <c r="L2" s="1036"/>
      <c r="M2" s="1036"/>
      <c r="N2" s="1036"/>
      <c r="O2" s="1037"/>
      <c r="P2" s="438"/>
      <c r="Q2" s="1038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43" t="s">
        <v>2282</v>
      </c>
      <c r="G3" s="1044"/>
      <c r="H3" s="378"/>
      <c r="I3" s="433"/>
      <c r="J3" s="472"/>
      <c r="K3" s="1040" t="s">
        <v>2422</v>
      </c>
      <c r="L3" s="1041"/>
      <c r="M3" s="1042"/>
      <c r="N3" s="476"/>
      <c r="O3" s="430"/>
      <c r="P3" s="470"/>
      <c r="Q3" s="1039"/>
      <c r="R3" s="372"/>
    </row>
    <row r="4" spans="2:28" ht="46.8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33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33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34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34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4">
      <c r="C26" s="473"/>
    </row>
    <row r="27" spans="2:28" ht="23.4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3.2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3.2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1" customWidth="1"/>
    <col min="25" max="25" width="11.33203125" style="122" customWidth="1"/>
    <col min="26" max="26" width="18.33203125" customWidth="1"/>
    <col min="28" max="28" width="10.5546875" style="143" customWidth="1"/>
    <col min="29" max="29" width="10.33203125" style="143" customWidth="1"/>
    <col min="30" max="30" width="19.6640625" style="142" customWidth="1"/>
    <col min="31" max="31" width="12.88671875" style="142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4" customWidth="1"/>
    <col min="37" max="37" width="9.33203125" style="154" customWidth="1"/>
    <col min="38" max="38" width="16.5546875" customWidth="1"/>
    <col min="39" max="39" width="12.109375" style="179" bestFit="1" customWidth="1"/>
    <col min="40" max="40" width="13.88671875" style="168" customWidth="1"/>
    <col min="41" max="41" width="10.44140625" style="168" customWidth="1"/>
    <col min="42" max="42" width="25.88671875" style="170" bestFit="1" customWidth="1"/>
    <col min="43" max="43" width="11" style="170" customWidth="1"/>
    <col min="44" max="44" width="17" customWidth="1"/>
    <col min="45" max="45" width="12.109375" style="179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199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199" bestFit="1" customWidth="1"/>
    <col min="56" max="56" width="9.5546875" bestFit="1" customWidth="1"/>
  </cols>
  <sheetData>
    <row r="1" spans="2:63">
      <c r="B1" s="949" t="s">
        <v>124</v>
      </c>
      <c r="C1" s="949"/>
      <c r="D1" s="952" t="s">
        <v>292</v>
      </c>
      <c r="E1" s="952"/>
      <c r="F1" s="952" t="s">
        <v>341</v>
      </c>
      <c r="G1" s="952"/>
      <c r="H1" s="950" t="s">
        <v>127</v>
      </c>
      <c r="I1" s="950"/>
      <c r="J1" s="946" t="s">
        <v>292</v>
      </c>
      <c r="K1" s="946"/>
      <c r="L1" s="951" t="s">
        <v>520</v>
      </c>
      <c r="M1" s="951"/>
      <c r="N1" s="950" t="s">
        <v>146</v>
      </c>
      <c r="O1" s="950"/>
      <c r="P1" s="946" t="s">
        <v>293</v>
      </c>
      <c r="Q1" s="946"/>
      <c r="R1" s="951" t="s">
        <v>522</v>
      </c>
      <c r="S1" s="951"/>
      <c r="T1" s="940" t="s">
        <v>193</v>
      </c>
      <c r="U1" s="940"/>
      <c r="V1" s="946" t="s">
        <v>292</v>
      </c>
      <c r="W1" s="946"/>
      <c r="X1" s="945" t="s">
        <v>524</v>
      </c>
      <c r="Y1" s="945"/>
      <c r="Z1" s="940" t="s">
        <v>241</v>
      </c>
      <c r="AA1" s="940"/>
      <c r="AB1" s="947" t="s">
        <v>292</v>
      </c>
      <c r="AC1" s="947"/>
      <c r="AD1" s="948" t="s">
        <v>524</v>
      </c>
      <c r="AE1" s="948"/>
      <c r="AF1" s="940" t="s">
        <v>367</v>
      </c>
      <c r="AG1" s="940"/>
      <c r="AH1" s="947" t="s">
        <v>292</v>
      </c>
      <c r="AI1" s="947"/>
      <c r="AJ1" s="945" t="s">
        <v>530</v>
      </c>
      <c r="AK1" s="945"/>
      <c r="AL1" s="940" t="s">
        <v>389</v>
      </c>
      <c r="AM1" s="940"/>
      <c r="AN1" s="957" t="s">
        <v>292</v>
      </c>
      <c r="AO1" s="957"/>
      <c r="AP1" s="955" t="s">
        <v>531</v>
      </c>
      <c r="AQ1" s="955"/>
      <c r="AR1" s="940" t="s">
        <v>416</v>
      </c>
      <c r="AS1" s="940"/>
      <c r="AV1" s="955" t="s">
        <v>285</v>
      </c>
      <c r="AW1" s="955"/>
      <c r="AX1" s="958" t="s">
        <v>998</v>
      </c>
      <c r="AY1" s="958"/>
      <c r="AZ1" s="958"/>
      <c r="BA1" s="208"/>
      <c r="BB1" s="953">
        <v>42942</v>
      </c>
      <c r="BC1" s="954"/>
      <c r="BD1" s="954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39" t="s">
        <v>261</v>
      </c>
      <c r="U4" s="939"/>
      <c r="X4" s="119" t="s">
        <v>233</v>
      </c>
      <c r="Y4" s="123">
        <f>Y3-Y6</f>
        <v>4.9669099999591708</v>
      </c>
      <c r="Z4" s="939" t="s">
        <v>262</v>
      </c>
      <c r="AA4" s="939"/>
      <c r="AD4" s="154" t="s">
        <v>233</v>
      </c>
      <c r="AE4" s="154">
        <f>AE3-AE5</f>
        <v>-52.526899999851594</v>
      </c>
      <c r="AF4" s="939" t="s">
        <v>262</v>
      </c>
      <c r="AG4" s="939"/>
      <c r="AH4" s="143"/>
      <c r="AI4" s="143"/>
      <c r="AJ4" s="154" t="s">
        <v>233</v>
      </c>
      <c r="AK4" s="154">
        <f>AK3-AK5</f>
        <v>94.988909999992757</v>
      </c>
      <c r="AL4" s="939" t="s">
        <v>262</v>
      </c>
      <c r="AM4" s="939"/>
      <c r="AP4" s="170" t="s">
        <v>233</v>
      </c>
      <c r="AQ4" s="174">
        <f>AQ3-AQ5</f>
        <v>33.841989999942598</v>
      </c>
      <c r="AR4" s="939" t="s">
        <v>262</v>
      </c>
      <c r="AS4" s="939"/>
      <c r="AX4" s="939" t="s">
        <v>564</v>
      </c>
      <c r="AY4" s="939"/>
      <c r="BB4" s="939" t="s">
        <v>567</v>
      </c>
      <c r="BC4" s="939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39"/>
      <c r="U5" s="939"/>
      <c r="V5" s="3" t="s">
        <v>258</v>
      </c>
      <c r="W5">
        <v>2050</v>
      </c>
      <c r="X5" s="82"/>
      <c r="Z5" s="939"/>
      <c r="AA5" s="93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39"/>
      <c r="AG5" s="939"/>
      <c r="AH5" s="143"/>
      <c r="AI5" s="143"/>
      <c r="AJ5" s="154" t="s">
        <v>352</v>
      </c>
      <c r="AK5" s="162">
        <f>SUM(AK11:AK59)</f>
        <v>30858.011000000002</v>
      </c>
      <c r="AL5" s="939"/>
      <c r="AM5" s="93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39"/>
      <c r="AS5" s="939"/>
      <c r="AX5" s="939"/>
      <c r="AY5" s="939"/>
      <c r="BB5" s="939"/>
      <c r="BC5" s="939"/>
      <c r="BD5" s="956" t="s">
        <v>999</v>
      </c>
      <c r="BE5" s="956"/>
      <c r="BF5" s="956"/>
      <c r="BG5" s="956"/>
      <c r="BH5" s="956"/>
      <c r="BI5" s="956"/>
      <c r="BJ5" s="956"/>
      <c r="BK5" s="956"/>
    </row>
    <row r="6" spans="2:63" ht="26.4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9.6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6.4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6.4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6.4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9.6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6.4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6.4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41" t="s">
        <v>264</v>
      </c>
      <c r="W23" s="94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43"/>
      <c r="W24" s="94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3.8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8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6.4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7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3.2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11.332031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59" t="s">
        <v>2664</v>
      </c>
      <c r="H3" s="960"/>
      <c r="I3" s="590"/>
      <c r="J3" s="959" t="s">
        <v>2665</v>
      </c>
      <c r="K3" s="960"/>
      <c r="L3" s="299"/>
      <c r="M3" s="959">
        <v>43739</v>
      </c>
      <c r="N3" s="960"/>
      <c r="O3" s="959">
        <v>42401</v>
      </c>
      <c r="P3" s="960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2" customHeight="1">
      <c r="B18" s="63"/>
      <c r="C18" s="965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66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66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66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66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66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66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66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67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6.4">
      <c r="B33" s="63" t="s">
        <v>315</v>
      </c>
      <c r="C33" s="71" t="s">
        <v>315</v>
      </c>
      <c r="D33" s="968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69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64">
        <f>G40/F42+H40</f>
        <v>1932511.2781954887</v>
      </c>
      <c r="H43" s="964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63">
        <f>H40*F42+G40</f>
        <v>2570240</v>
      </c>
      <c r="H44" s="963"/>
      <c r="I44" s="2"/>
      <c r="J44" s="963">
        <f>K40*1.37+J40</f>
        <v>1877697.6600000001</v>
      </c>
      <c r="K44" s="963"/>
      <c r="L44" s="2"/>
      <c r="M44" s="963">
        <f>N40*1.37+M40</f>
        <v>1789659</v>
      </c>
      <c r="N44" s="963"/>
      <c r="O44" s="963">
        <f>P40*1.36+O40</f>
        <v>1320187.2</v>
      </c>
      <c r="P44" s="963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62" t="s">
        <v>1186</v>
      </c>
      <c r="C47" s="962"/>
      <c r="D47" s="962"/>
      <c r="E47" s="962"/>
      <c r="F47" s="962"/>
      <c r="G47" s="962"/>
      <c r="H47" s="962"/>
      <c r="I47" s="962"/>
      <c r="J47" s="962"/>
      <c r="K47" s="962"/>
      <c r="L47" s="962"/>
      <c r="M47" s="962"/>
      <c r="N47" s="962"/>
    </row>
    <row r="48" spans="2:16">
      <c r="B48" s="962" t="s">
        <v>2560</v>
      </c>
      <c r="C48" s="962"/>
      <c r="D48" s="962"/>
      <c r="E48" s="962"/>
      <c r="F48" s="962"/>
      <c r="G48" s="962"/>
      <c r="H48" s="962"/>
      <c r="I48" s="962"/>
      <c r="J48" s="962"/>
      <c r="K48" s="962"/>
      <c r="L48" s="962"/>
      <c r="M48" s="962"/>
      <c r="N48" s="962"/>
    </row>
    <row r="49" spans="2:14">
      <c r="B49" s="962" t="s">
        <v>2559</v>
      </c>
      <c r="C49" s="962"/>
      <c r="D49" s="962"/>
      <c r="E49" s="962"/>
      <c r="F49" s="962"/>
      <c r="G49" s="962"/>
      <c r="H49" s="962"/>
      <c r="I49" s="962"/>
      <c r="J49" s="962"/>
      <c r="K49" s="962"/>
      <c r="L49" s="962"/>
      <c r="M49" s="962"/>
      <c r="N49" s="962"/>
    </row>
    <row r="50" spans="2:14">
      <c r="B50" s="961" t="s">
        <v>2558</v>
      </c>
      <c r="C50" s="961"/>
      <c r="D50" s="961"/>
      <c r="E50" s="961"/>
      <c r="F50" s="961"/>
      <c r="G50" s="961"/>
      <c r="H50" s="961"/>
      <c r="I50" s="961"/>
      <c r="J50" s="961"/>
      <c r="K50" s="961"/>
      <c r="L50" s="961"/>
      <c r="M50" s="961"/>
      <c r="N50" s="961"/>
    </row>
    <row r="51" spans="2:14">
      <c r="B51" s="961"/>
      <c r="C51" s="961"/>
      <c r="D51" s="961"/>
      <c r="E51" s="961"/>
      <c r="F51" s="961"/>
      <c r="G51" s="961"/>
      <c r="H51" s="961"/>
      <c r="I51" s="961"/>
      <c r="J51" s="961"/>
      <c r="K51" s="961"/>
      <c r="L51" s="961"/>
      <c r="M51" s="961"/>
      <c r="N51" s="961"/>
    </row>
    <row r="52" spans="2:14">
      <c r="B52" s="961"/>
      <c r="C52" s="961"/>
      <c r="D52" s="961"/>
      <c r="E52" s="961"/>
      <c r="F52" s="961"/>
      <c r="G52" s="961"/>
      <c r="H52" s="961"/>
      <c r="I52" s="961"/>
      <c r="J52" s="961"/>
      <c r="K52" s="961"/>
      <c r="L52" s="961"/>
      <c r="M52" s="961"/>
      <c r="N52" s="961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3.2"/>
  <cols>
    <col min="1" max="1" width="1" customWidth="1"/>
    <col min="2" max="2" width="24.33203125" style="625" bestFit="1" customWidth="1"/>
    <col min="3" max="3" width="11.5546875" style="638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71" t="s">
        <v>2652</v>
      </c>
      <c r="F38" s="972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7.399999999999999">
      <c r="B41" s="970" t="s">
        <v>989</v>
      </c>
      <c r="C41" s="970"/>
      <c r="D41" s="970"/>
      <c r="E41" s="970"/>
      <c r="F41" s="970"/>
      <c r="G41" s="970"/>
      <c r="H41" s="97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3.2"/>
  <cols>
    <col min="1" max="1" width="1.109375" customWidth="1"/>
    <col min="2" max="2" width="11.6640625" customWidth="1"/>
    <col min="3" max="3" width="10.6640625" style="284" bestFit="1" customWidth="1"/>
    <col min="4" max="4" width="12.88671875" bestFit="1" customWidth="1"/>
    <col min="5" max="5" width="9.10937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3.2"/>
  <cols>
    <col min="1" max="1" width="1.6640625" customWidth="1"/>
    <col min="2" max="2" width="9.6640625" bestFit="1" customWidth="1"/>
    <col min="3" max="3" width="9" bestFit="1" customWidth="1"/>
    <col min="4" max="4" width="10.33203125" style="142" customWidth="1"/>
    <col min="5" max="5" width="9" style="203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2" customWidth="1"/>
    <col min="102" max="105" width="10.33203125" customWidth="1"/>
    <col min="106" max="107" width="10.33203125" style="142" customWidth="1"/>
    <col min="108" max="111" width="10.33203125" customWidth="1"/>
    <col min="112" max="113" width="10.33203125" style="142" customWidth="1"/>
    <col min="114" max="117" width="10.33203125" customWidth="1"/>
    <col min="118" max="119" width="10.33203125" style="142" customWidth="1"/>
    <col min="120" max="123" width="10.33203125" customWidth="1"/>
    <col min="124" max="125" width="10.33203125" style="142" customWidth="1"/>
    <col min="126" max="129" width="10.33203125" customWidth="1"/>
    <col min="130" max="130" width="21.88671875" style="142" bestFit="1" customWidth="1"/>
    <col min="131" max="131" width="10.33203125" style="142" customWidth="1"/>
    <col min="132" max="135" width="10.33203125" customWidth="1"/>
    <col min="136" max="136" width="20.44140625" style="142" bestFit="1" customWidth="1"/>
    <col min="137" max="137" width="10.33203125" style="142" customWidth="1"/>
    <col min="138" max="141" width="10.33203125" customWidth="1"/>
    <col min="142" max="143" width="10.33203125" style="142" customWidth="1"/>
    <col min="144" max="147" width="10.33203125" customWidth="1"/>
    <col min="148" max="149" width="10.33203125" style="142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2" customWidth="1"/>
    <col min="155" max="155" width="9" style="142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>
      <c r="B1" s="949" t="s">
        <v>909</v>
      </c>
      <c r="C1" s="949"/>
      <c r="D1" s="948" t="s">
        <v>515</v>
      </c>
      <c r="E1" s="948"/>
      <c r="F1" s="949" t="s">
        <v>513</v>
      </c>
      <c r="G1" s="949"/>
      <c r="H1" s="976" t="s">
        <v>549</v>
      </c>
      <c r="I1" s="976"/>
      <c r="J1" s="948" t="s">
        <v>515</v>
      </c>
      <c r="K1" s="948"/>
      <c r="L1" s="949" t="s">
        <v>908</v>
      </c>
      <c r="M1" s="949"/>
      <c r="N1" s="976" t="s">
        <v>549</v>
      </c>
      <c r="O1" s="976"/>
      <c r="P1" s="948" t="s">
        <v>515</v>
      </c>
      <c r="Q1" s="948"/>
      <c r="R1" s="949" t="s">
        <v>552</v>
      </c>
      <c r="S1" s="949"/>
      <c r="T1" s="976" t="s">
        <v>549</v>
      </c>
      <c r="U1" s="976"/>
      <c r="V1" s="948" t="s">
        <v>515</v>
      </c>
      <c r="W1" s="948"/>
      <c r="X1" s="949" t="s">
        <v>907</v>
      </c>
      <c r="Y1" s="949"/>
      <c r="Z1" s="976" t="s">
        <v>549</v>
      </c>
      <c r="AA1" s="976"/>
      <c r="AB1" s="948" t="s">
        <v>515</v>
      </c>
      <c r="AC1" s="948"/>
      <c r="AD1" s="949" t="s">
        <v>591</v>
      </c>
      <c r="AE1" s="949"/>
      <c r="AF1" s="976" t="s">
        <v>549</v>
      </c>
      <c r="AG1" s="976"/>
      <c r="AH1" s="948" t="s">
        <v>515</v>
      </c>
      <c r="AI1" s="948"/>
      <c r="AJ1" s="949" t="s">
        <v>906</v>
      </c>
      <c r="AK1" s="949"/>
      <c r="AL1" s="976" t="s">
        <v>626</v>
      </c>
      <c r="AM1" s="976"/>
      <c r="AN1" s="948" t="s">
        <v>627</v>
      </c>
      <c r="AO1" s="948"/>
      <c r="AP1" s="949" t="s">
        <v>621</v>
      </c>
      <c r="AQ1" s="949"/>
      <c r="AR1" s="976" t="s">
        <v>549</v>
      </c>
      <c r="AS1" s="976"/>
      <c r="AT1" s="948" t="s">
        <v>515</v>
      </c>
      <c r="AU1" s="948"/>
      <c r="AV1" s="949" t="s">
        <v>905</v>
      </c>
      <c r="AW1" s="949"/>
      <c r="AX1" s="976" t="s">
        <v>549</v>
      </c>
      <c r="AY1" s="976"/>
      <c r="AZ1" s="948" t="s">
        <v>515</v>
      </c>
      <c r="BA1" s="948"/>
      <c r="BB1" s="949" t="s">
        <v>653</v>
      </c>
      <c r="BC1" s="949"/>
      <c r="BD1" s="976" t="s">
        <v>549</v>
      </c>
      <c r="BE1" s="976"/>
      <c r="BF1" s="948" t="s">
        <v>515</v>
      </c>
      <c r="BG1" s="948"/>
      <c r="BH1" s="949" t="s">
        <v>904</v>
      </c>
      <c r="BI1" s="949"/>
      <c r="BJ1" s="976" t="s">
        <v>549</v>
      </c>
      <c r="BK1" s="976"/>
      <c r="BL1" s="948" t="s">
        <v>515</v>
      </c>
      <c r="BM1" s="948"/>
      <c r="BN1" s="949" t="s">
        <v>921</v>
      </c>
      <c r="BO1" s="949"/>
      <c r="BP1" s="976" t="s">
        <v>549</v>
      </c>
      <c r="BQ1" s="976"/>
      <c r="BR1" s="948" t="s">
        <v>515</v>
      </c>
      <c r="BS1" s="948"/>
      <c r="BT1" s="949" t="s">
        <v>903</v>
      </c>
      <c r="BU1" s="949"/>
      <c r="BV1" s="976" t="s">
        <v>704</v>
      </c>
      <c r="BW1" s="976"/>
      <c r="BX1" s="948" t="s">
        <v>705</v>
      </c>
      <c r="BY1" s="948"/>
      <c r="BZ1" s="949" t="s">
        <v>703</v>
      </c>
      <c r="CA1" s="949"/>
      <c r="CB1" s="976" t="s">
        <v>730</v>
      </c>
      <c r="CC1" s="976"/>
      <c r="CD1" s="948" t="s">
        <v>731</v>
      </c>
      <c r="CE1" s="948"/>
      <c r="CF1" s="949" t="s">
        <v>902</v>
      </c>
      <c r="CG1" s="949"/>
      <c r="CH1" s="976" t="s">
        <v>730</v>
      </c>
      <c r="CI1" s="976"/>
      <c r="CJ1" s="948" t="s">
        <v>731</v>
      </c>
      <c r="CK1" s="948"/>
      <c r="CL1" s="949" t="s">
        <v>748</v>
      </c>
      <c r="CM1" s="949"/>
      <c r="CN1" s="976" t="s">
        <v>730</v>
      </c>
      <c r="CO1" s="976"/>
      <c r="CP1" s="948" t="s">
        <v>731</v>
      </c>
      <c r="CQ1" s="948"/>
      <c r="CR1" s="949" t="s">
        <v>901</v>
      </c>
      <c r="CS1" s="949"/>
      <c r="CT1" s="976" t="s">
        <v>730</v>
      </c>
      <c r="CU1" s="976"/>
      <c r="CV1" s="974" t="s">
        <v>731</v>
      </c>
      <c r="CW1" s="974"/>
      <c r="CX1" s="949" t="s">
        <v>769</v>
      </c>
      <c r="CY1" s="949"/>
      <c r="CZ1" s="976" t="s">
        <v>730</v>
      </c>
      <c r="DA1" s="976"/>
      <c r="DB1" s="974" t="s">
        <v>731</v>
      </c>
      <c r="DC1" s="974"/>
      <c r="DD1" s="949" t="s">
        <v>900</v>
      </c>
      <c r="DE1" s="949"/>
      <c r="DF1" s="976" t="s">
        <v>816</v>
      </c>
      <c r="DG1" s="976"/>
      <c r="DH1" s="974" t="s">
        <v>817</v>
      </c>
      <c r="DI1" s="974"/>
      <c r="DJ1" s="949" t="s">
        <v>809</v>
      </c>
      <c r="DK1" s="949"/>
      <c r="DL1" s="976" t="s">
        <v>816</v>
      </c>
      <c r="DM1" s="976"/>
      <c r="DN1" s="974" t="s">
        <v>731</v>
      </c>
      <c r="DO1" s="974"/>
      <c r="DP1" s="949" t="s">
        <v>899</v>
      </c>
      <c r="DQ1" s="949"/>
      <c r="DR1" s="976" t="s">
        <v>816</v>
      </c>
      <c r="DS1" s="976"/>
      <c r="DT1" s="974" t="s">
        <v>731</v>
      </c>
      <c r="DU1" s="974"/>
      <c r="DV1" s="949" t="s">
        <v>898</v>
      </c>
      <c r="DW1" s="949"/>
      <c r="DX1" s="976" t="s">
        <v>816</v>
      </c>
      <c r="DY1" s="976"/>
      <c r="DZ1" s="974" t="s">
        <v>731</v>
      </c>
      <c r="EA1" s="974"/>
      <c r="EB1" s="949" t="s">
        <v>897</v>
      </c>
      <c r="EC1" s="949"/>
      <c r="ED1" s="976" t="s">
        <v>816</v>
      </c>
      <c r="EE1" s="976"/>
      <c r="EF1" s="974" t="s">
        <v>731</v>
      </c>
      <c r="EG1" s="974"/>
      <c r="EH1" s="949" t="s">
        <v>883</v>
      </c>
      <c r="EI1" s="949"/>
      <c r="EJ1" s="976" t="s">
        <v>816</v>
      </c>
      <c r="EK1" s="976"/>
      <c r="EL1" s="974" t="s">
        <v>936</v>
      </c>
      <c r="EM1" s="974"/>
      <c r="EN1" s="949" t="s">
        <v>922</v>
      </c>
      <c r="EO1" s="949"/>
      <c r="EP1" s="976" t="s">
        <v>816</v>
      </c>
      <c r="EQ1" s="976"/>
      <c r="ER1" s="974" t="s">
        <v>950</v>
      </c>
      <c r="ES1" s="974"/>
      <c r="ET1" s="949" t="s">
        <v>937</v>
      </c>
      <c r="EU1" s="949"/>
      <c r="EV1" s="976" t="s">
        <v>816</v>
      </c>
      <c r="EW1" s="976"/>
      <c r="EX1" s="974" t="s">
        <v>530</v>
      </c>
      <c r="EY1" s="974"/>
      <c r="EZ1" s="949" t="s">
        <v>952</v>
      </c>
      <c r="FA1" s="949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3.8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75" t="s">
        <v>779</v>
      </c>
      <c r="CU7" s="949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75" t="s">
        <v>778</v>
      </c>
      <c r="DA8" s="949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75" t="s">
        <v>778</v>
      </c>
      <c r="DG8" s="949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75" t="s">
        <v>778</v>
      </c>
      <c r="DM8" s="949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75" t="s">
        <v>778</v>
      </c>
      <c r="DS8" s="949"/>
      <c r="DT8" s="142" t="s">
        <v>783</v>
      </c>
      <c r="DU8" s="142">
        <f>SUM(DU13:DU17)</f>
        <v>32</v>
      </c>
      <c r="DV8" s="63"/>
      <c r="DW8" s="63"/>
      <c r="DX8" s="975" t="s">
        <v>778</v>
      </c>
      <c r="DY8" s="949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75" t="s">
        <v>928</v>
      </c>
      <c r="EK8" s="949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75" t="s">
        <v>928</v>
      </c>
      <c r="EQ9" s="949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75" t="s">
        <v>928</v>
      </c>
      <c r="EW9" s="949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75" t="s">
        <v>928</v>
      </c>
      <c r="EE11" s="949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75" t="s">
        <v>778</v>
      </c>
      <c r="CU12" s="949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40" t="s">
        <v>782</v>
      </c>
      <c r="CU19" s="940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62" t="s">
        <v>858</v>
      </c>
      <c r="FA21" s="962"/>
      <c r="FC21" s="238">
        <f>FC20-FC22</f>
        <v>113457.16899999997</v>
      </c>
      <c r="FD21" s="230"/>
      <c r="FE21" s="973" t="s">
        <v>1546</v>
      </c>
      <c r="FF21" s="973"/>
      <c r="FG21" s="973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62" t="s">
        <v>871</v>
      </c>
      <c r="FA22" s="962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62" t="s">
        <v>1000</v>
      </c>
      <c r="FA23" s="962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62" t="s">
        <v>1076</v>
      </c>
      <c r="FA24" s="962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77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78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77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78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7.399999999999999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7.399999999999999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K79"/>
  <sheetViews>
    <sheetView tabSelected="1" topLeftCell="KA1" zoomScaleNormal="100" workbookViewId="0">
      <selection activeCell="KM15" sqref="KM15"/>
    </sheetView>
  </sheetViews>
  <sheetFormatPr defaultColWidth="14.5546875" defaultRowHeight="13.2"/>
  <cols>
    <col min="1" max="1" width="13.44140625" customWidth="1"/>
    <col min="2" max="2" width="8.6640625" style="61" bestFit="1" customWidth="1"/>
    <col min="3" max="4" width="1.109375" customWidth="1"/>
    <col min="5" max="5" width="19.5546875" style="142" bestFit="1" customWidth="1"/>
    <col min="6" max="6" width="9.109375" style="142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2" bestFit="1" customWidth="1"/>
    <col min="12" max="12" width="8.109375" style="142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2" bestFit="1" customWidth="1"/>
    <col min="18" max="18" width="8.109375" style="142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33203125" style="142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33203125" style="142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09375" style="142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4140625" style="142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546875" style="142" customWidth="1"/>
    <col min="49" max="49" width="16" customWidth="1"/>
    <col min="50" max="50" width="9.109375" style="61" bestFit="1" customWidth="1"/>
    <col min="51" max="51" width="10.33203125" style="142" bestFit="1" customWidth="1"/>
    <col min="52" max="52" width="6.5546875" style="142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09375" style="142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18" bestFit="1" customWidth="1"/>
    <col min="64" max="64" width="9.109375" style="218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18" bestFit="1" customWidth="1"/>
    <col min="70" max="70" width="9.109375" style="218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18" bestFit="1" customWidth="1"/>
    <col min="76" max="76" width="9.109375" style="218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18" bestFit="1" customWidth="1"/>
    <col min="82" max="82" width="10.5546875" style="218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18" bestFit="1" customWidth="1"/>
    <col min="88" max="88" width="9" style="218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18" bestFit="1" customWidth="1"/>
    <col min="94" max="94" width="12" style="218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18" bestFit="1" customWidth="1"/>
    <col min="100" max="100" width="12" style="218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18" bestFit="1" customWidth="1"/>
    <col min="106" max="106" width="12" style="218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18" bestFit="1" customWidth="1"/>
    <col min="112" max="112" width="12" style="302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18" bestFit="1" customWidth="1"/>
    <col min="118" max="118" width="11.88671875" style="302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18" bestFit="1" customWidth="1"/>
    <col min="124" max="124" width="11.88671875" style="302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2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570" customWidth="1"/>
    <col min="255" max="255" width="9.109375" style="570" bestFit="1" customWidth="1"/>
    <col min="256" max="256" width="15.88671875" style="570" customWidth="1"/>
    <col min="257" max="257" width="8.6640625" style="570" customWidth="1"/>
    <col min="258" max="258" width="18.33203125" style="570" customWidth="1"/>
    <col min="259" max="259" width="9.6640625" style="570" bestFit="1" customWidth="1"/>
    <col min="260" max="260" width="14.5546875" style="616" customWidth="1"/>
    <col min="261" max="261" width="9.6640625" style="616" bestFit="1" customWidth="1"/>
    <col min="262" max="262" width="15.88671875" style="616" customWidth="1"/>
    <col min="263" max="263" width="10.88671875" style="616" bestFit="1" customWidth="1"/>
    <col min="264" max="264" width="18" style="616" customWidth="1"/>
    <col min="265" max="265" width="10.88671875" style="616" customWidth="1"/>
    <col min="266" max="266" width="14.5546875" style="662" customWidth="1"/>
    <col min="267" max="267" width="11.6640625" style="662" customWidth="1"/>
    <col min="268" max="268" width="16.88671875" style="662" customWidth="1"/>
    <col min="269" max="269" width="11.88671875" style="662" bestFit="1" customWidth="1"/>
    <col min="270" max="270" width="17.6640625" style="662" customWidth="1"/>
    <col min="271" max="271" width="9" style="662" customWidth="1"/>
    <col min="272" max="272" width="14.5546875" style="711" customWidth="1"/>
    <col min="273" max="273" width="11.44140625" style="711" customWidth="1"/>
    <col min="274" max="274" width="16.88671875" style="711" customWidth="1"/>
    <col min="275" max="275" width="11.88671875" style="711" bestFit="1" customWidth="1"/>
    <col min="276" max="276" width="17.6640625" style="711" customWidth="1"/>
    <col min="277" max="277" width="9.44140625" style="711" customWidth="1"/>
    <col min="278" max="278" width="17.44140625" style="757" customWidth="1"/>
    <col min="279" max="279" width="10.109375" style="757" bestFit="1" customWidth="1"/>
    <col min="280" max="280" width="16.88671875" style="757" customWidth="1"/>
    <col min="281" max="281" width="11.88671875" style="757" bestFit="1" customWidth="1"/>
    <col min="282" max="282" width="17.6640625" style="757" customWidth="1"/>
    <col min="283" max="283" width="9.109375" style="757" bestFit="1" customWidth="1"/>
    <col min="284" max="284" width="17.44140625" style="796" customWidth="1"/>
    <col min="285" max="285" width="9.109375" style="796" bestFit="1" customWidth="1"/>
    <col min="286" max="286" width="16.88671875" style="796" customWidth="1"/>
    <col min="287" max="287" width="10.33203125" style="796" bestFit="1" customWidth="1"/>
    <col min="288" max="288" width="17.6640625" style="844" customWidth="1"/>
    <col min="289" max="289" width="8.109375" style="864" bestFit="1" customWidth="1"/>
    <col min="290" max="290" width="15.88671875" style="849" bestFit="1" customWidth="1"/>
    <col min="291" max="291" width="10.109375" style="849" bestFit="1" customWidth="1"/>
    <col min="292" max="292" width="16.88671875" style="849" customWidth="1"/>
    <col min="293" max="293" width="11.88671875" style="849" bestFit="1" customWidth="1"/>
    <col min="294" max="294" width="17.6640625" style="849" customWidth="1"/>
    <col min="295" max="295" width="8.109375" style="849" bestFit="1" customWidth="1"/>
    <col min="296" max="296" width="6.88671875" style="849" bestFit="1" customWidth="1"/>
    <col min="297" max="297" width="8.44140625" style="849" customWidth="1"/>
  </cols>
  <sheetData>
    <row r="1" spans="1:297" s="142" customFormat="1">
      <c r="A1" s="989" t="s">
        <v>1209</v>
      </c>
      <c r="B1" s="989"/>
      <c r="C1" s="957" t="s">
        <v>292</v>
      </c>
      <c r="D1" s="957"/>
      <c r="E1" s="955" t="s">
        <v>1010</v>
      </c>
      <c r="F1" s="955"/>
      <c r="G1" s="989" t="s">
        <v>1210</v>
      </c>
      <c r="H1" s="989"/>
      <c r="I1" s="957" t="s">
        <v>292</v>
      </c>
      <c r="J1" s="957"/>
      <c r="K1" s="955" t="s">
        <v>1011</v>
      </c>
      <c r="L1" s="955"/>
      <c r="M1" s="989" t="s">
        <v>1211</v>
      </c>
      <c r="N1" s="989"/>
      <c r="O1" s="957" t="s">
        <v>292</v>
      </c>
      <c r="P1" s="957"/>
      <c r="Q1" s="955" t="s">
        <v>1057</v>
      </c>
      <c r="R1" s="955"/>
      <c r="S1" s="989" t="s">
        <v>1212</v>
      </c>
      <c r="T1" s="989"/>
      <c r="U1" s="957" t="s">
        <v>292</v>
      </c>
      <c r="V1" s="957"/>
      <c r="W1" s="955" t="s">
        <v>627</v>
      </c>
      <c r="X1" s="955"/>
      <c r="Y1" s="989" t="s">
        <v>1213</v>
      </c>
      <c r="Z1" s="989"/>
      <c r="AA1" s="957" t="s">
        <v>292</v>
      </c>
      <c r="AB1" s="957"/>
      <c r="AC1" s="955" t="s">
        <v>1084</v>
      </c>
      <c r="AD1" s="955"/>
      <c r="AE1" s="989" t="s">
        <v>1214</v>
      </c>
      <c r="AF1" s="989"/>
      <c r="AG1" s="957" t="s">
        <v>292</v>
      </c>
      <c r="AH1" s="957"/>
      <c r="AI1" s="955" t="s">
        <v>1134</v>
      </c>
      <c r="AJ1" s="955"/>
      <c r="AK1" s="989" t="s">
        <v>1217</v>
      </c>
      <c r="AL1" s="989"/>
      <c r="AM1" s="957" t="s">
        <v>1132</v>
      </c>
      <c r="AN1" s="957"/>
      <c r="AO1" s="955" t="s">
        <v>1133</v>
      </c>
      <c r="AP1" s="955"/>
      <c r="AQ1" s="989" t="s">
        <v>1218</v>
      </c>
      <c r="AR1" s="989"/>
      <c r="AS1" s="957" t="s">
        <v>1132</v>
      </c>
      <c r="AT1" s="957"/>
      <c r="AU1" s="955" t="s">
        <v>1178</v>
      </c>
      <c r="AV1" s="955"/>
      <c r="AW1" s="989" t="s">
        <v>1215</v>
      </c>
      <c r="AX1" s="989"/>
      <c r="AY1" s="955" t="s">
        <v>1241</v>
      </c>
      <c r="AZ1" s="955"/>
      <c r="BA1" s="989" t="s">
        <v>1215</v>
      </c>
      <c r="BB1" s="989"/>
      <c r="BC1" s="957" t="s">
        <v>816</v>
      </c>
      <c r="BD1" s="957"/>
      <c r="BE1" s="955" t="s">
        <v>1208</v>
      </c>
      <c r="BF1" s="955"/>
      <c r="BG1" s="989" t="s">
        <v>1216</v>
      </c>
      <c r="BH1" s="989"/>
      <c r="BI1" s="957" t="s">
        <v>816</v>
      </c>
      <c r="BJ1" s="957"/>
      <c r="BK1" s="955" t="s">
        <v>1208</v>
      </c>
      <c r="BL1" s="955"/>
      <c r="BM1" s="989" t="s">
        <v>1226</v>
      </c>
      <c r="BN1" s="989"/>
      <c r="BO1" s="957" t="s">
        <v>816</v>
      </c>
      <c r="BP1" s="957"/>
      <c r="BQ1" s="955" t="s">
        <v>1244</v>
      </c>
      <c r="BR1" s="955"/>
      <c r="BS1" s="989" t="s">
        <v>1243</v>
      </c>
      <c r="BT1" s="989"/>
      <c r="BU1" s="957" t="s">
        <v>816</v>
      </c>
      <c r="BV1" s="957"/>
      <c r="BW1" s="955" t="s">
        <v>1248</v>
      </c>
      <c r="BX1" s="955"/>
      <c r="BY1" s="989" t="s">
        <v>1270</v>
      </c>
      <c r="BZ1" s="989"/>
      <c r="CA1" s="957" t="s">
        <v>816</v>
      </c>
      <c r="CB1" s="957"/>
      <c r="CC1" s="955" t="s">
        <v>1244</v>
      </c>
      <c r="CD1" s="955"/>
      <c r="CE1" s="989" t="s">
        <v>1291</v>
      </c>
      <c r="CF1" s="989"/>
      <c r="CG1" s="957" t="s">
        <v>816</v>
      </c>
      <c r="CH1" s="957"/>
      <c r="CI1" s="955" t="s">
        <v>1248</v>
      </c>
      <c r="CJ1" s="955"/>
      <c r="CK1" s="989" t="s">
        <v>1307</v>
      </c>
      <c r="CL1" s="989"/>
      <c r="CM1" s="957" t="s">
        <v>816</v>
      </c>
      <c r="CN1" s="957"/>
      <c r="CO1" s="955" t="s">
        <v>1244</v>
      </c>
      <c r="CP1" s="955"/>
      <c r="CQ1" s="989" t="s">
        <v>1335</v>
      </c>
      <c r="CR1" s="989"/>
      <c r="CS1" s="980" t="s">
        <v>816</v>
      </c>
      <c r="CT1" s="980"/>
      <c r="CU1" s="955" t="s">
        <v>1391</v>
      </c>
      <c r="CV1" s="955"/>
      <c r="CW1" s="989" t="s">
        <v>1374</v>
      </c>
      <c r="CX1" s="989"/>
      <c r="CY1" s="980" t="s">
        <v>816</v>
      </c>
      <c r="CZ1" s="980"/>
      <c r="DA1" s="955" t="s">
        <v>1597</v>
      </c>
      <c r="DB1" s="955"/>
      <c r="DC1" s="989" t="s">
        <v>1394</v>
      </c>
      <c r="DD1" s="989"/>
      <c r="DE1" s="980" t="s">
        <v>816</v>
      </c>
      <c r="DF1" s="980"/>
      <c r="DG1" s="955" t="s">
        <v>1491</v>
      </c>
      <c r="DH1" s="955"/>
      <c r="DI1" s="989" t="s">
        <v>1594</v>
      </c>
      <c r="DJ1" s="989"/>
      <c r="DK1" s="980" t="s">
        <v>816</v>
      </c>
      <c r="DL1" s="980"/>
      <c r="DM1" s="955" t="s">
        <v>1391</v>
      </c>
      <c r="DN1" s="955"/>
      <c r="DO1" s="989" t="s">
        <v>1595</v>
      </c>
      <c r="DP1" s="989"/>
      <c r="DQ1" s="980" t="s">
        <v>816</v>
      </c>
      <c r="DR1" s="980"/>
      <c r="DS1" s="955" t="s">
        <v>1590</v>
      </c>
      <c r="DT1" s="955"/>
      <c r="DU1" s="989" t="s">
        <v>1596</v>
      </c>
      <c r="DV1" s="989"/>
      <c r="DW1" s="980" t="s">
        <v>816</v>
      </c>
      <c r="DX1" s="980"/>
      <c r="DY1" s="955" t="s">
        <v>1616</v>
      </c>
      <c r="DZ1" s="955"/>
      <c r="EA1" s="979" t="s">
        <v>1611</v>
      </c>
      <c r="EB1" s="979"/>
      <c r="EC1" s="980" t="s">
        <v>816</v>
      </c>
      <c r="ED1" s="980"/>
      <c r="EE1" s="955" t="s">
        <v>1590</v>
      </c>
      <c r="EF1" s="955"/>
      <c r="EG1" s="361"/>
      <c r="EH1" s="979" t="s">
        <v>1641</v>
      </c>
      <c r="EI1" s="979"/>
      <c r="EJ1" s="980" t="s">
        <v>816</v>
      </c>
      <c r="EK1" s="980"/>
      <c r="EL1" s="955" t="s">
        <v>1675</v>
      </c>
      <c r="EM1" s="955"/>
      <c r="EN1" s="979" t="s">
        <v>1666</v>
      </c>
      <c r="EO1" s="979"/>
      <c r="EP1" s="980" t="s">
        <v>816</v>
      </c>
      <c r="EQ1" s="980"/>
      <c r="ER1" s="955" t="s">
        <v>1715</v>
      </c>
      <c r="ES1" s="955"/>
      <c r="ET1" s="979" t="s">
        <v>1708</v>
      </c>
      <c r="EU1" s="979"/>
      <c r="EV1" s="980" t="s">
        <v>816</v>
      </c>
      <c r="EW1" s="980"/>
      <c r="EX1" s="955" t="s">
        <v>1616</v>
      </c>
      <c r="EY1" s="955"/>
      <c r="EZ1" s="979" t="s">
        <v>1743</v>
      </c>
      <c r="FA1" s="979"/>
      <c r="FB1" s="980" t="s">
        <v>816</v>
      </c>
      <c r="FC1" s="980"/>
      <c r="FD1" s="955" t="s">
        <v>1597</v>
      </c>
      <c r="FE1" s="955"/>
      <c r="FF1" s="979" t="s">
        <v>1782</v>
      </c>
      <c r="FG1" s="979"/>
      <c r="FH1" s="980" t="s">
        <v>816</v>
      </c>
      <c r="FI1" s="980"/>
      <c r="FJ1" s="955" t="s">
        <v>1391</v>
      </c>
      <c r="FK1" s="955"/>
      <c r="FL1" s="979" t="s">
        <v>1817</v>
      </c>
      <c r="FM1" s="979"/>
      <c r="FN1" s="980" t="s">
        <v>816</v>
      </c>
      <c r="FO1" s="980"/>
      <c r="FP1" s="955" t="s">
        <v>1864</v>
      </c>
      <c r="FQ1" s="955"/>
      <c r="FR1" s="979" t="s">
        <v>1853</v>
      </c>
      <c r="FS1" s="979"/>
      <c r="FT1" s="980" t="s">
        <v>816</v>
      </c>
      <c r="FU1" s="980"/>
      <c r="FV1" s="955" t="s">
        <v>1864</v>
      </c>
      <c r="FW1" s="955"/>
      <c r="FX1" s="979" t="s">
        <v>1996</v>
      </c>
      <c r="FY1" s="979"/>
      <c r="FZ1" s="980" t="s">
        <v>816</v>
      </c>
      <c r="GA1" s="980"/>
      <c r="GB1" s="955" t="s">
        <v>1616</v>
      </c>
      <c r="GC1" s="955"/>
      <c r="GD1" s="979" t="s">
        <v>1997</v>
      </c>
      <c r="GE1" s="979"/>
      <c r="GF1" s="980" t="s">
        <v>816</v>
      </c>
      <c r="GG1" s="980"/>
      <c r="GH1" s="955" t="s">
        <v>1590</v>
      </c>
      <c r="GI1" s="955"/>
      <c r="GJ1" s="979" t="s">
        <v>2006</v>
      </c>
      <c r="GK1" s="979"/>
      <c r="GL1" s="980" t="s">
        <v>816</v>
      </c>
      <c r="GM1" s="980"/>
      <c r="GN1" s="955" t="s">
        <v>1590</v>
      </c>
      <c r="GO1" s="955"/>
      <c r="GP1" s="979" t="s">
        <v>2048</v>
      </c>
      <c r="GQ1" s="979"/>
      <c r="GR1" s="980" t="s">
        <v>816</v>
      </c>
      <c r="GS1" s="980"/>
      <c r="GT1" s="955" t="s">
        <v>1675</v>
      </c>
      <c r="GU1" s="955"/>
      <c r="GV1" s="979" t="s">
        <v>2082</v>
      </c>
      <c r="GW1" s="979"/>
      <c r="GX1" s="980" t="s">
        <v>816</v>
      </c>
      <c r="GY1" s="980"/>
      <c r="GZ1" s="955" t="s">
        <v>2121</v>
      </c>
      <c r="HA1" s="955"/>
      <c r="HB1" s="979" t="s">
        <v>2141</v>
      </c>
      <c r="HC1" s="979"/>
      <c r="HD1" s="980" t="s">
        <v>816</v>
      </c>
      <c r="HE1" s="980"/>
      <c r="HF1" s="955" t="s">
        <v>1715</v>
      </c>
      <c r="HG1" s="955"/>
      <c r="HH1" s="979" t="s">
        <v>2154</v>
      </c>
      <c r="HI1" s="979"/>
      <c r="HJ1" s="980" t="s">
        <v>816</v>
      </c>
      <c r="HK1" s="980"/>
      <c r="HL1" s="955" t="s">
        <v>1391</v>
      </c>
      <c r="HM1" s="955"/>
      <c r="HN1" s="979" t="s">
        <v>2200</v>
      </c>
      <c r="HO1" s="979"/>
      <c r="HP1" s="980" t="s">
        <v>816</v>
      </c>
      <c r="HQ1" s="980"/>
      <c r="HR1" s="955" t="s">
        <v>1391</v>
      </c>
      <c r="HS1" s="955"/>
      <c r="HT1" s="979" t="s">
        <v>2242</v>
      </c>
      <c r="HU1" s="979"/>
      <c r="HV1" s="980" t="s">
        <v>816</v>
      </c>
      <c r="HW1" s="980"/>
      <c r="HX1" s="955" t="s">
        <v>1616</v>
      </c>
      <c r="HY1" s="955"/>
      <c r="HZ1" s="979" t="s">
        <v>2298</v>
      </c>
      <c r="IA1" s="979"/>
      <c r="IB1" s="980" t="s">
        <v>816</v>
      </c>
      <c r="IC1" s="980"/>
      <c r="ID1" s="955" t="s">
        <v>1715</v>
      </c>
      <c r="IE1" s="955"/>
      <c r="IF1" s="979" t="s">
        <v>2365</v>
      </c>
      <c r="IG1" s="979"/>
      <c r="IH1" s="980" t="s">
        <v>816</v>
      </c>
      <c r="II1" s="980"/>
      <c r="IJ1" s="955" t="s">
        <v>1590</v>
      </c>
      <c r="IK1" s="955"/>
      <c r="IL1" s="979" t="s">
        <v>2440</v>
      </c>
      <c r="IM1" s="979"/>
      <c r="IN1" s="980" t="s">
        <v>816</v>
      </c>
      <c r="IO1" s="980"/>
      <c r="IP1" s="955" t="s">
        <v>1616</v>
      </c>
      <c r="IQ1" s="955"/>
      <c r="IR1" s="979" t="s">
        <v>2655</v>
      </c>
      <c r="IS1" s="979"/>
      <c r="IT1" s="980" t="s">
        <v>816</v>
      </c>
      <c r="IU1" s="980"/>
      <c r="IV1" s="955" t="s">
        <v>1748</v>
      </c>
      <c r="IW1" s="955"/>
      <c r="IX1" s="979" t="s">
        <v>2654</v>
      </c>
      <c r="IY1" s="979"/>
      <c r="IZ1" s="980" t="s">
        <v>816</v>
      </c>
      <c r="JA1" s="980"/>
      <c r="JB1" s="955" t="s">
        <v>1864</v>
      </c>
      <c r="JC1" s="955"/>
      <c r="JD1" s="979" t="s">
        <v>2701</v>
      </c>
      <c r="JE1" s="979"/>
      <c r="JF1" s="980" t="s">
        <v>816</v>
      </c>
      <c r="JG1" s="980"/>
      <c r="JH1" s="955" t="s">
        <v>1748</v>
      </c>
      <c r="JI1" s="955"/>
      <c r="JJ1" s="979" t="s">
        <v>2763</v>
      </c>
      <c r="JK1" s="979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58" t="s">
        <v>2986</v>
      </c>
      <c r="KC1" s="865"/>
      <c r="KD1" s="851" t="s">
        <v>816</v>
      </c>
      <c r="KE1" s="851"/>
      <c r="KF1" s="848" t="s">
        <v>1748</v>
      </c>
      <c r="KG1" s="848"/>
      <c r="KH1" s="850" t="s">
        <v>2987</v>
      </c>
      <c r="KI1" s="850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7" t="s">
        <v>1911</v>
      </c>
      <c r="KC2" s="363">
        <f>SUM(KC3:KC28)</f>
        <v>314154.64</v>
      </c>
      <c r="KD2" s="849" t="s">
        <v>295</v>
      </c>
      <c r="KE2" s="492">
        <f>SUM(KE4:KE25)</f>
        <v>211551.29500000001</v>
      </c>
      <c r="KF2" s="334" t="s">
        <v>296</v>
      </c>
      <c r="KG2" s="273">
        <f>KE2+KC2-KI2</f>
        <v>209586.49500000005</v>
      </c>
      <c r="KH2" s="849" t="s">
        <v>1911</v>
      </c>
      <c r="KI2" s="363">
        <f>SUM(KI3:KI31)</f>
        <v>316119.44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79" t="s">
        <v>3021</v>
      </c>
      <c r="KC3" s="268">
        <v>-71000</v>
      </c>
      <c r="KE3" s="492"/>
      <c r="KF3" s="849" t="s">
        <v>2395</v>
      </c>
      <c r="KG3" s="273">
        <f>KG2-KE31-KE30</f>
        <v>2016.975000000064</v>
      </c>
      <c r="KH3" s="879" t="s">
        <v>2789</v>
      </c>
      <c r="KI3" s="268">
        <f>-135000-70600</f>
        <v>-205600</v>
      </c>
      <c r="KJ3" s="607"/>
    </row>
    <row r="4" spans="1:297" ht="12.75" customHeight="1" thickBot="1">
      <c r="A4" s="939" t="s">
        <v>991</v>
      </c>
      <c r="B4" s="939"/>
      <c r="E4" s="170" t="s">
        <v>233</v>
      </c>
      <c r="F4" s="174">
        <f>F3-F5</f>
        <v>17</v>
      </c>
      <c r="G4" s="939" t="s">
        <v>991</v>
      </c>
      <c r="H4" s="939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2992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79" t="s">
        <v>3022</v>
      </c>
      <c r="KC4" s="268">
        <f>-140000</f>
        <v>-140000</v>
      </c>
      <c r="KD4" s="849" t="s">
        <v>633</v>
      </c>
      <c r="KE4" s="541"/>
      <c r="KF4" s="849" t="s">
        <v>1203</v>
      </c>
      <c r="KG4" s="286">
        <f>KG2-KG5</f>
        <v>0.37500000002910383</v>
      </c>
      <c r="KH4" s="854" t="s">
        <v>2672</v>
      </c>
      <c r="KI4" s="442">
        <v>-87000</v>
      </c>
      <c r="KJ4" s="607" t="s">
        <v>3081</v>
      </c>
    </row>
    <row r="5" spans="1:297">
      <c r="A5" s="939"/>
      <c r="B5" s="939"/>
      <c r="E5" s="170" t="s">
        <v>352</v>
      </c>
      <c r="F5" s="174">
        <f>SUM(F15:F58)</f>
        <v>12750</v>
      </c>
      <c r="G5" s="939"/>
      <c r="H5" s="939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2971</v>
      </c>
      <c r="JY5" s="541">
        <v>-30</v>
      </c>
      <c r="JZ5" s="796" t="s">
        <v>352</v>
      </c>
      <c r="KA5" s="273">
        <f>SUM(KA6:KA73)</f>
        <v>20398.781431282358</v>
      </c>
      <c r="KB5" s="879" t="s">
        <v>3023</v>
      </c>
      <c r="KC5" s="268">
        <f>-135000</f>
        <v>-135000</v>
      </c>
      <c r="KD5" s="849" t="s">
        <v>2982</v>
      </c>
      <c r="KE5" s="541"/>
      <c r="KF5" s="849" t="s">
        <v>352</v>
      </c>
      <c r="KG5" s="273">
        <f>SUM(KG6:KG54)</f>
        <v>209586.12000000002</v>
      </c>
      <c r="KH5" s="853" t="s">
        <v>2671</v>
      </c>
      <c r="KI5" s="268">
        <v>-4000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38" t="s">
        <v>2950</v>
      </c>
      <c r="JQ6" s="442"/>
      <c r="JR6" s="757" t="s">
        <v>2658</v>
      </c>
      <c r="JS6" s="541" t="s">
        <v>2832</v>
      </c>
      <c r="JT6" s="815" t="s">
        <v>2935</v>
      </c>
      <c r="JU6" s="839">
        <v>2000</v>
      </c>
      <c r="JV6" s="763" t="s">
        <v>2671</v>
      </c>
      <c r="JW6" s="268">
        <v>-4000</v>
      </c>
      <c r="JX6" s="844" t="s">
        <v>2601</v>
      </c>
      <c r="JY6" s="492">
        <v>-1800</v>
      </c>
      <c r="JZ6" s="815" t="s">
        <v>2925</v>
      </c>
      <c r="KA6" s="61">
        <v>1000.08</v>
      </c>
      <c r="KB6" s="861" t="s">
        <v>2672</v>
      </c>
      <c r="KC6" s="442">
        <v>-82000</v>
      </c>
      <c r="KD6" s="849" t="s">
        <v>3029</v>
      </c>
      <c r="KE6" s="541">
        <v>-107.13</v>
      </c>
      <c r="KF6" s="815" t="s">
        <v>1002</v>
      </c>
      <c r="KG6" s="580"/>
      <c r="KH6" s="901" t="s">
        <v>3049</v>
      </c>
      <c r="KI6" s="442">
        <v>7000</v>
      </c>
      <c r="KJ6" s="606"/>
      <c r="KK6" s="268"/>
    </row>
    <row r="7" spans="1:297" ht="13.8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62" t="s">
        <v>2671</v>
      </c>
      <c r="KC7" s="268">
        <v>-4000</v>
      </c>
      <c r="KD7" s="849" t="s">
        <v>2601</v>
      </c>
      <c r="KE7" s="492"/>
      <c r="KF7" s="389" t="s">
        <v>1863</v>
      </c>
      <c r="KG7" s="61"/>
      <c r="KH7" s="849" t="s">
        <v>2805</v>
      </c>
      <c r="KI7" s="268">
        <v>495015</v>
      </c>
      <c r="KJ7" s="606">
        <v>45166</v>
      </c>
      <c r="KK7" s="268" t="s">
        <v>3083</v>
      </c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2964</v>
      </c>
      <c r="JY8" s="541">
        <v>60</v>
      </c>
      <c r="JZ8" s="815" t="s">
        <v>1002</v>
      </c>
      <c r="KA8" s="857">
        <v>1900.08</v>
      </c>
      <c r="KB8" s="857" t="s">
        <v>2805</v>
      </c>
      <c r="KC8" s="268">
        <v>640008</v>
      </c>
      <c r="KE8" s="492"/>
      <c r="KF8" s="346" t="s">
        <v>1863</v>
      </c>
      <c r="KH8" s="877" t="s">
        <v>3020</v>
      </c>
      <c r="KI8" s="442">
        <v>9004</v>
      </c>
      <c r="KJ8" s="606">
        <v>45166</v>
      </c>
      <c r="KK8" s="442" t="s">
        <v>3083</v>
      </c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2988</v>
      </c>
      <c r="KA9" s="61">
        <f>27+270.45+2700</f>
        <v>2997.45</v>
      </c>
      <c r="KB9" s="320" t="s">
        <v>2464</v>
      </c>
      <c r="KC9" s="403">
        <v>0</v>
      </c>
      <c r="KD9" s="849" t="s">
        <v>3046</v>
      </c>
      <c r="KE9" s="541">
        <f>ABS(KC3+KC4)</f>
        <v>211000</v>
      </c>
      <c r="KF9" s="346" t="s">
        <v>3057</v>
      </c>
      <c r="KG9" s="849">
        <v>10.25</v>
      </c>
      <c r="KH9" s="912" t="s">
        <v>3001</v>
      </c>
      <c r="KI9" s="442" t="s">
        <v>2129</v>
      </c>
      <c r="KJ9" s="606"/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2966</v>
      </c>
      <c r="JY10" s="514"/>
      <c r="JZ10" s="389" t="s">
        <v>3026</v>
      </c>
      <c r="KA10" s="61">
        <v>5.99</v>
      </c>
      <c r="KB10" s="205" t="s">
        <v>2958</v>
      </c>
      <c r="KC10" s="359">
        <v>-166</v>
      </c>
      <c r="KD10" s="849" t="s">
        <v>3045</v>
      </c>
      <c r="KE10" s="494"/>
      <c r="KF10" s="245" t="s">
        <v>2991</v>
      </c>
      <c r="KG10" s="492">
        <v>64875.360000000001</v>
      </c>
      <c r="KH10" s="853" t="s">
        <v>2921</v>
      </c>
      <c r="KI10" s="268">
        <v>100385</v>
      </c>
      <c r="KJ10" s="606">
        <v>45166</v>
      </c>
      <c r="KK10" s="268" t="s">
        <v>3083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2953</v>
      </c>
      <c r="JY11" s="725">
        <f>55.87+0.96</f>
        <v>56.83</v>
      </c>
      <c r="JZ11" s="346" t="s">
        <v>2944</v>
      </c>
      <c r="KA11" s="796">
        <v>29.9</v>
      </c>
      <c r="KB11" s="861" t="s">
        <v>1630</v>
      </c>
      <c r="KC11" s="442">
        <v>-217</v>
      </c>
      <c r="KD11" s="894"/>
      <c r="KE11" s="494"/>
      <c r="KF11" s="245" t="s">
        <v>2990</v>
      </c>
      <c r="KG11" s="492">
        <v>136360</v>
      </c>
      <c r="KH11" s="254" t="s">
        <v>2927</v>
      </c>
      <c r="KI11" s="605"/>
      <c r="KJ11" s="606"/>
      <c r="KK11" s="442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9" t="s">
        <v>2790</v>
      </c>
      <c r="KC12" s="268">
        <v>2600</v>
      </c>
      <c r="KD12" s="849" t="s">
        <v>2966</v>
      </c>
      <c r="KE12" s="514"/>
      <c r="KF12" s="245" t="s">
        <v>3068</v>
      </c>
      <c r="KG12" s="492">
        <v>4053</v>
      </c>
      <c r="KH12" s="320" t="s">
        <v>2464</v>
      </c>
      <c r="KI12" s="403">
        <v>30</v>
      </c>
      <c r="KJ12" s="606"/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2931</v>
      </c>
      <c r="JY13" s="726">
        <v>7.95</v>
      </c>
      <c r="JZ13" s="346" t="s">
        <v>2918</v>
      </c>
      <c r="KA13" s="61">
        <v>2062.8000000000002</v>
      </c>
      <c r="KB13" s="862" t="s">
        <v>2791</v>
      </c>
      <c r="KC13" s="268">
        <v>765</v>
      </c>
      <c r="KD13" s="875" t="s">
        <v>3019</v>
      </c>
      <c r="KE13" s="493">
        <f>1.5%*519</f>
        <v>7.7850000000000001</v>
      </c>
      <c r="KF13" s="245" t="s">
        <v>3065</v>
      </c>
      <c r="KG13" s="492">
        <v>281.16000000000003</v>
      </c>
      <c r="KH13" s="205" t="s">
        <v>3061</v>
      </c>
      <c r="KI13" s="359">
        <v>-114</v>
      </c>
      <c r="KJ13" s="606">
        <v>45163</v>
      </c>
      <c r="KK13" s="268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49" t="s">
        <v>2185</v>
      </c>
      <c r="HK14" s="949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2945</v>
      </c>
      <c r="JU14" s="52">
        <f>(3175.47/5)</f>
        <v>635.09399999999994</v>
      </c>
      <c r="JV14" s="763" t="s">
        <v>2793</v>
      </c>
      <c r="JW14" s="268">
        <v>561</v>
      </c>
      <c r="JX14" s="9" t="s">
        <v>2948</v>
      </c>
      <c r="JY14" s="726"/>
      <c r="JZ14" s="346" t="s">
        <v>2682</v>
      </c>
      <c r="KA14" s="796">
        <f>259.2+410.4</f>
        <v>669.59999999999991</v>
      </c>
      <c r="KB14" s="862" t="s">
        <v>2792</v>
      </c>
      <c r="KC14" s="517">
        <v>1438</v>
      </c>
      <c r="KD14" s="849" t="s">
        <v>2981</v>
      </c>
      <c r="KE14" s="725">
        <v>46</v>
      </c>
      <c r="KF14" s="245" t="s">
        <v>3052</v>
      </c>
      <c r="KG14" s="492">
        <v>2000</v>
      </c>
      <c r="KH14" s="205" t="s">
        <v>2958</v>
      </c>
      <c r="KI14" s="359">
        <v>-120</v>
      </c>
      <c r="KJ14" s="606"/>
      <c r="KK14" s="442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83" t="s">
        <v>1504</v>
      </c>
      <c r="DP15" s="984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2" t="s">
        <v>2921</v>
      </c>
      <c r="KC15" s="268">
        <v>100491</v>
      </c>
      <c r="KD15" s="849" t="s">
        <v>1799</v>
      </c>
      <c r="KE15" s="725">
        <v>13.54</v>
      </c>
      <c r="KF15" s="345" t="s">
        <v>2550</v>
      </c>
      <c r="KG15" s="61">
        <v>74.64</v>
      </c>
      <c r="KH15" s="854" t="s">
        <v>1630</v>
      </c>
      <c r="KI15" s="442">
        <v>-1269</v>
      </c>
      <c r="KJ15" s="606">
        <v>45160</v>
      </c>
      <c r="KK15" s="517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46" t="s">
        <v>2965</v>
      </c>
      <c r="JY16" s="726"/>
      <c r="JZ16" s="346" t="s">
        <v>2932</v>
      </c>
      <c r="KA16" s="834">
        <f>6.8+7.8</f>
        <v>14.6</v>
      </c>
      <c r="KB16" s="254" t="s">
        <v>2927</v>
      </c>
      <c r="KC16" s="605"/>
      <c r="KD16" s="9" t="s">
        <v>2931</v>
      </c>
      <c r="KE16" s="726"/>
      <c r="KF16" s="345" t="s">
        <v>3063</v>
      </c>
      <c r="KG16" s="61"/>
      <c r="KH16" s="852" t="s">
        <v>2790</v>
      </c>
      <c r="KI16" s="268">
        <v>600</v>
      </c>
      <c r="KJ16" s="606"/>
      <c r="KK16" s="268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2" t="s">
        <v>2795</v>
      </c>
      <c r="KC17" s="268">
        <v>0</v>
      </c>
      <c r="KD17" s="1001" t="s">
        <v>2983</v>
      </c>
      <c r="KE17" s="1001"/>
      <c r="KF17" s="345" t="s">
        <v>2618</v>
      </c>
      <c r="KG17" s="534"/>
      <c r="KH17" s="853" t="s">
        <v>2791</v>
      </c>
      <c r="KI17" s="268">
        <v>518</v>
      </c>
      <c r="KJ17" s="606">
        <v>45163</v>
      </c>
      <c r="KK17" s="268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2972</v>
      </c>
      <c r="KA18" s="61">
        <v>5.01</v>
      </c>
      <c r="KB18" s="862" t="s">
        <v>2683</v>
      </c>
      <c r="KC18" s="268">
        <v>14</v>
      </c>
      <c r="KD18" s="9"/>
      <c r="KE18" s="726"/>
      <c r="KF18" s="345" t="s">
        <v>1195</v>
      </c>
      <c r="KG18" s="61">
        <v>10</v>
      </c>
      <c r="KH18" s="853" t="s">
        <v>2792</v>
      </c>
      <c r="KI18" s="517">
        <v>425</v>
      </c>
      <c r="KJ18" s="606">
        <v>45166</v>
      </c>
      <c r="KK18" s="517" t="s">
        <v>3083</v>
      </c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83" t="s">
        <v>1474</v>
      </c>
      <c r="DJ19" s="984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2967</v>
      </c>
      <c r="JY19" s="726">
        <v>24.55</v>
      </c>
      <c r="JZ19" s="346" t="s">
        <v>2973</v>
      </c>
      <c r="KA19" s="796">
        <v>10.87</v>
      </c>
      <c r="KB19" s="861" t="s">
        <v>2679</v>
      </c>
      <c r="KC19" s="2">
        <v>220</v>
      </c>
      <c r="KD19" s="849" t="s">
        <v>2965</v>
      </c>
      <c r="KE19" s="726"/>
      <c r="KF19" s="345" t="s">
        <v>2802</v>
      </c>
      <c r="KG19" s="61">
        <f>14.32+18</f>
        <v>32.32</v>
      </c>
      <c r="KH19" s="853" t="s">
        <v>2795</v>
      </c>
      <c r="KI19" s="268">
        <v>1</v>
      </c>
      <c r="KJ19" s="606">
        <v>45166</v>
      </c>
      <c r="KK19" s="2" t="s">
        <v>3083</v>
      </c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2956</v>
      </c>
      <c r="JY20" s="726">
        <v>27.05</v>
      </c>
      <c r="JZ20" s="245" t="s">
        <v>2851</v>
      </c>
      <c r="KA20" s="492">
        <v>1347.2</v>
      </c>
      <c r="KB20" s="861" t="s">
        <v>2678</v>
      </c>
      <c r="KC20" s="2"/>
      <c r="KD20" s="9" t="s">
        <v>2917</v>
      </c>
      <c r="KE20" s="726"/>
      <c r="KF20" s="345" t="s">
        <v>3028</v>
      </c>
      <c r="KG20" s="61">
        <v>180</v>
      </c>
      <c r="KH20" s="853" t="s">
        <v>2683</v>
      </c>
      <c r="KI20" s="268">
        <v>15</v>
      </c>
      <c r="KJ20" s="606">
        <v>45163</v>
      </c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2968</v>
      </c>
      <c r="JY21" s="726">
        <v>13.23</v>
      </c>
      <c r="JZ21" s="245" t="s">
        <v>2985</v>
      </c>
      <c r="KA21" s="492">
        <v>1322.98</v>
      </c>
      <c r="KB21" s="863" t="s">
        <v>2451</v>
      </c>
      <c r="KC21" s="2">
        <v>1000</v>
      </c>
      <c r="KD21" s="9" t="s">
        <v>2902</v>
      </c>
      <c r="KE21" s="726">
        <v>92.26</v>
      </c>
      <c r="KF21" s="345" t="s">
        <v>2858</v>
      </c>
      <c r="KG21" s="203">
        <v>10.8</v>
      </c>
      <c r="KH21" s="854" t="s">
        <v>2679</v>
      </c>
      <c r="KI21" s="2">
        <v>170</v>
      </c>
      <c r="KJ21" s="606">
        <v>45165</v>
      </c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99" t="s">
        <v>507</v>
      </c>
      <c r="N22" s="999"/>
      <c r="Q22" s="166" t="s">
        <v>365</v>
      </c>
      <c r="S22" s="999" t="s">
        <v>507</v>
      </c>
      <c r="T22" s="999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86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40" t="s">
        <v>2170</v>
      </c>
      <c r="IU22" s="940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2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2994</v>
      </c>
      <c r="JY22" s="726">
        <v>31.96</v>
      </c>
      <c r="JZ22" s="245" t="s">
        <v>2974</v>
      </c>
      <c r="KA22" s="492">
        <v>1730.87</v>
      </c>
      <c r="KB22" s="860" t="s">
        <v>2469</v>
      </c>
      <c r="KC22" s="61"/>
      <c r="KD22" s="9" t="s">
        <v>2970</v>
      </c>
      <c r="KE22" s="726">
        <v>31.03</v>
      </c>
      <c r="KF22" s="345" t="s">
        <v>2364</v>
      </c>
      <c r="KG22" s="61">
        <f>14.89+17.36+13.36+15.59+10+15.78</f>
        <v>86.98</v>
      </c>
      <c r="KH22" s="854" t="s">
        <v>2678</v>
      </c>
      <c r="KI22" s="2"/>
      <c r="KJ22" s="606"/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94" t="s">
        <v>990</v>
      </c>
      <c r="N23" s="994"/>
      <c r="Q23" s="166" t="s">
        <v>369</v>
      </c>
      <c r="S23" s="994" t="s">
        <v>990</v>
      </c>
      <c r="T23" s="994"/>
      <c r="W23" s="244" t="s">
        <v>1019</v>
      </c>
      <c r="X23" s="142">
        <v>0</v>
      </c>
      <c r="Y23" s="999" t="s">
        <v>507</v>
      </c>
      <c r="Z23" s="999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86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40" t="s">
        <v>2170</v>
      </c>
      <c r="HK23" s="940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40" t="s">
        <v>2170</v>
      </c>
      <c r="HW23" s="940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2957</v>
      </c>
      <c r="KA23" s="492">
        <v>1713.69</v>
      </c>
      <c r="KB23" s="860" t="s">
        <v>2477</v>
      </c>
      <c r="KC23" s="61"/>
      <c r="KD23" s="9" t="s">
        <v>2969</v>
      </c>
      <c r="KE23" s="726"/>
      <c r="KF23" s="337" t="s">
        <v>1863</v>
      </c>
      <c r="KG23" s="61"/>
      <c r="KH23" s="856" t="s">
        <v>2451</v>
      </c>
      <c r="KI23" s="2">
        <v>1000</v>
      </c>
      <c r="KJ23" s="108"/>
    </row>
    <row r="24" spans="1:297">
      <c r="A24" s="999" t="s">
        <v>507</v>
      </c>
      <c r="B24" s="999"/>
      <c r="E24" s="164" t="s">
        <v>237</v>
      </c>
      <c r="F24" s="166"/>
      <c r="G24" s="999" t="s">
        <v>507</v>
      </c>
      <c r="H24" s="999"/>
      <c r="K24" s="244" t="s">
        <v>1019</v>
      </c>
      <c r="L24" s="142">
        <v>0</v>
      </c>
      <c r="M24" s="962"/>
      <c r="N24" s="962"/>
      <c r="Q24" s="166" t="s">
        <v>1056</v>
      </c>
      <c r="S24" s="962"/>
      <c r="T24" s="962"/>
      <c r="W24" s="244" t="s">
        <v>1027</v>
      </c>
      <c r="X24" s="205">
        <v>0</v>
      </c>
      <c r="Y24" s="994" t="s">
        <v>990</v>
      </c>
      <c r="Z24" s="994"/>
      <c r="AC24"/>
      <c r="AE24" s="999" t="s">
        <v>507</v>
      </c>
      <c r="AF24" s="999"/>
      <c r="AI24"/>
      <c r="AK24" s="999" t="s">
        <v>507</v>
      </c>
      <c r="AL24" s="999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85" t="s">
        <v>1536</v>
      </c>
      <c r="EF24" s="985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86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86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0" t="s">
        <v>2949</v>
      </c>
      <c r="KC24" s="61">
        <v>1.64</v>
      </c>
      <c r="KD24" s="867" t="s">
        <v>3033</v>
      </c>
      <c r="KE24" s="510">
        <f>63.91+71.9+199.73+2.07</f>
        <v>337.60999999999996</v>
      </c>
      <c r="KF24" s="337" t="s">
        <v>1863</v>
      </c>
      <c r="KG24" s="61"/>
      <c r="KH24" s="855" t="s">
        <v>2469</v>
      </c>
      <c r="KI24" s="61"/>
    </row>
    <row r="25" spans="1:297">
      <c r="A25" s="994" t="s">
        <v>990</v>
      </c>
      <c r="B25" s="994"/>
      <c r="E25" s="164" t="s">
        <v>139</v>
      </c>
      <c r="F25" s="166"/>
      <c r="G25" s="994" t="s">
        <v>990</v>
      </c>
      <c r="H25" s="994"/>
      <c r="K25" s="244" t="s">
        <v>1027</v>
      </c>
      <c r="L25" s="205">
        <v>0</v>
      </c>
      <c r="M25" s="962"/>
      <c r="N25" s="962"/>
      <c r="Q25" s="244" t="s">
        <v>1029</v>
      </c>
      <c r="R25" s="142">
        <v>0</v>
      </c>
      <c r="S25" s="962"/>
      <c r="T25" s="962"/>
      <c r="W25" s="244" t="s">
        <v>1050</v>
      </c>
      <c r="X25" s="142">
        <v>910.17</v>
      </c>
      <c r="Y25" s="962"/>
      <c r="Z25" s="962"/>
      <c r="AC25" s="248" t="s">
        <v>1083</v>
      </c>
      <c r="AD25" s="142">
        <v>90</v>
      </c>
      <c r="AE25" s="994" t="s">
        <v>990</v>
      </c>
      <c r="AF25" s="994"/>
      <c r="AI25" s="245" t="s">
        <v>1101</v>
      </c>
      <c r="AJ25" s="142">
        <v>30</v>
      </c>
      <c r="AK25" s="994" t="s">
        <v>990</v>
      </c>
      <c r="AL25" s="994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94"/>
      <c r="BH25" s="994"/>
      <c r="BK25" s="266" t="s">
        <v>1222</v>
      </c>
      <c r="BL25" s="205">
        <v>48.54</v>
      </c>
      <c r="BM25" s="994"/>
      <c r="BN25" s="994"/>
      <c r="BQ25" s="266" t="s">
        <v>1051</v>
      </c>
      <c r="BR25" s="205">
        <v>50.15</v>
      </c>
      <c r="BS25" s="994" t="s">
        <v>1245</v>
      </c>
      <c r="BT25" s="994"/>
      <c r="BW25" s="266" t="s">
        <v>1051</v>
      </c>
      <c r="BX25" s="205">
        <v>48.54</v>
      </c>
      <c r="BY25" s="994"/>
      <c r="BZ25" s="994"/>
      <c r="CC25" s="266" t="s">
        <v>1051</v>
      </c>
      <c r="CD25" s="205">
        <v>142.91</v>
      </c>
      <c r="CE25" s="994"/>
      <c r="CF25" s="994"/>
      <c r="CI25" s="266" t="s">
        <v>1312</v>
      </c>
      <c r="CJ25" s="205">
        <v>35.049999999999997</v>
      </c>
      <c r="CK25" s="962"/>
      <c r="CL25" s="962"/>
      <c r="CO25" s="266" t="s">
        <v>1286</v>
      </c>
      <c r="CP25" s="205">
        <v>153.41</v>
      </c>
      <c r="CQ25" s="962" t="s">
        <v>1327</v>
      </c>
      <c r="CR25" s="962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86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40" t="s">
        <v>2170</v>
      </c>
      <c r="IC25" s="940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2"/>
      <c r="JY25" s="832"/>
      <c r="JZ25" s="345" t="s">
        <v>2954</v>
      </c>
      <c r="KA25" s="61">
        <v>219</v>
      </c>
      <c r="KB25" s="860"/>
      <c r="KC25" s="61"/>
      <c r="KD25" s="900" t="s">
        <v>3048</v>
      </c>
      <c r="KE25" s="510">
        <f>7000*(1-98.14%)</f>
        <v>130.19999999999965</v>
      </c>
      <c r="KF25" s="337" t="s">
        <v>3050</v>
      </c>
      <c r="KG25" s="849">
        <v>135.69999999999999</v>
      </c>
      <c r="KH25" s="855" t="s">
        <v>2949</v>
      </c>
      <c r="KI25" s="61">
        <v>1.64</v>
      </c>
    </row>
    <row r="26" spans="1:297">
      <c r="A26" s="962"/>
      <c r="B26" s="962"/>
      <c r="E26" s="198" t="s">
        <v>362</v>
      </c>
      <c r="F26" s="170"/>
      <c r="G26" s="962"/>
      <c r="H26" s="962"/>
      <c r="K26" s="244" t="s">
        <v>1018</v>
      </c>
      <c r="L26" s="142">
        <f>910+40</f>
        <v>950</v>
      </c>
      <c r="M26" s="962"/>
      <c r="N26" s="962"/>
      <c r="Q26" s="244" t="s">
        <v>1026</v>
      </c>
      <c r="R26" s="142">
        <v>0</v>
      </c>
      <c r="S26" s="962"/>
      <c r="T26" s="962"/>
      <c r="W26" s="143" t="s">
        <v>1085</v>
      </c>
      <c r="X26" s="142">
        <v>110.58</v>
      </c>
      <c r="Y26" s="962"/>
      <c r="Z26" s="962"/>
      <c r="AE26" s="962"/>
      <c r="AF26" s="962"/>
      <c r="AK26" s="962"/>
      <c r="AL26" s="962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62"/>
      <c r="AX26" s="962"/>
      <c r="AY26" s="143"/>
      <c r="AZ26" s="205"/>
      <c r="BA26" s="962"/>
      <c r="BB26" s="962"/>
      <c r="BE26" s="143" t="s">
        <v>1195</v>
      </c>
      <c r="BF26" s="205">
        <f>6.5*2</f>
        <v>13</v>
      </c>
      <c r="BG26" s="962"/>
      <c r="BH26" s="962"/>
      <c r="BK26" s="266" t="s">
        <v>1195</v>
      </c>
      <c r="BL26" s="205">
        <f>6.5*2</f>
        <v>13</v>
      </c>
      <c r="BM26" s="962"/>
      <c r="BN26" s="962"/>
      <c r="BQ26" s="266" t="s">
        <v>1195</v>
      </c>
      <c r="BR26" s="205">
        <v>13</v>
      </c>
      <c r="BS26" s="962"/>
      <c r="BT26" s="962"/>
      <c r="BW26" s="266" t="s">
        <v>1195</v>
      </c>
      <c r="BX26" s="205">
        <v>13</v>
      </c>
      <c r="BY26" s="962"/>
      <c r="BZ26" s="962"/>
      <c r="CC26" s="266" t="s">
        <v>1195</v>
      </c>
      <c r="CD26" s="205">
        <v>13</v>
      </c>
      <c r="CE26" s="962"/>
      <c r="CF26" s="962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90" t="s">
        <v>1536</v>
      </c>
      <c r="DZ26" s="991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85" t="s">
        <v>1536</v>
      </c>
      <c r="ES26" s="985"/>
      <c r="ET26" s="1" t="s">
        <v>1703</v>
      </c>
      <c r="EU26" s="272">
        <v>20000</v>
      </c>
      <c r="EW26" s="986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2"/>
      <c r="JY26" s="832"/>
      <c r="JZ26" s="345" t="s">
        <v>2897</v>
      </c>
      <c r="KA26" s="61">
        <v>30</v>
      </c>
      <c r="KB26" s="860" t="s">
        <v>2420</v>
      </c>
      <c r="KC26" s="61"/>
      <c r="KF26" s="337" t="s">
        <v>3027</v>
      </c>
      <c r="KG26" s="533">
        <v>10</v>
      </c>
    </row>
    <row r="27" spans="1:297">
      <c r="A27" s="962"/>
      <c r="B27" s="962"/>
      <c r="F27" s="194"/>
      <c r="G27" s="962"/>
      <c r="H27" s="962"/>
      <c r="K27"/>
      <c r="M27" s="995" t="s">
        <v>506</v>
      </c>
      <c r="N27" s="995"/>
      <c r="Q27" s="244" t="s">
        <v>1019</v>
      </c>
      <c r="R27" s="142">
        <v>0</v>
      </c>
      <c r="S27" s="995" t="s">
        <v>506</v>
      </c>
      <c r="T27" s="995"/>
      <c r="W27" s="143" t="s">
        <v>1051</v>
      </c>
      <c r="X27" s="142">
        <v>60.75</v>
      </c>
      <c r="Y27" s="962"/>
      <c r="Z27" s="962"/>
      <c r="AC27" s="219" t="s">
        <v>1092</v>
      </c>
      <c r="AD27" s="219"/>
      <c r="AE27" s="995" t="s">
        <v>506</v>
      </c>
      <c r="AF27" s="995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85" t="s">
        <v>1536</v>
      </c>
      <c r="EY27" s="985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40" t="s">
        <v>2170</v>
      </c>
      <c r="HQ27" s="940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2"/>
      <c r="JY27" s="832"/>
      <c r="JZ27" s="345" t="s">
        <v>2989</v>
      </c>
      <c r="KA27" s="534">
        <f>131.87*2</f>
        <v>263.74</v>
      </c>
      <c r="KB27" s="860"/>
      <c r="KC27" s="866"/>
      <c r="KF27" s="337" t="s">
        <v>3030</v>
      </c>
      <c r="KG27" s="533">
        <v>38</v>
      </c>
      <c r="KH27" s="855" t="s">
        <v>3051</v>
      </c>
      <c r="KI27" s="61"/>
    </row>
    <row r="28" spans="1:297">
      <c r="A28" s="962"/>
      <c r="B28" s="962"/>
      <c r="E28" s="193" t="s">
        <v>360</v>
      </c>
      <c r="F28" s="194"/>
      <c r="G28" s="962"/>
      <c r="H28" s="962"/>
      <c r="K28" s="143" t="s">
        <v>1017</v>
      </c>
      <c r="L28" s="142">
        <f>60</f>
        <v>60</v>
      </c>
      <c r="M28" s="995" t="s">
        <v>992</v>
      </c>
      <c r="N28" s="995"/>
      <c r="Q28" s="244" t="s">
        <v>1073</v>
      </c>
      <c r="R28" s="205">
        <v>200</v>
      </c>
      <c r="S28" s="995" t="s">
        <v>992</v>
      </c>
      <c r="T28" s="995"/>
      <c r="W28" s="143" t="s">
        <v>1016</v>
      </c>
      <c r="X28" s="142">
        <v>61.35</v>
      </c>
      <c r="Y28" s="995" t="s">
        <v>506</v>
      </c>
      <c r="Z28" s="995"/>
      <c r="AC28" s="219" t="s">
        <v>1088</v>
      </c>
      <c r="AD28" s="219">
        <f>53+207+63</f>
        <v>323</v>
      </c>
      <c r="AE28" s="995" t="s">
        <v>992</v>
      </c>
      <c r="AF28" s="995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85" t="s">
        <v>1747</v>
      </c>
      <c r="FE28" s="985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40" t="s">
        <v>2170</v>
      </c>
      <c r="JA28" s="940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2"/>
      <c r="JY28" s="832"/>
      <c r="JZ28" s="345" t="s">
        <v>2975</v>
      </c>
      <c r="KA28" s="61">
        <f>(15+6.5)*2</f>
        <v>43</v>
      </c>
      <c r="KB28" s="860"/>
      <c r="KF28" s="337" t="s">
        <v>3036</v>
      </c>
      <c r="KG28" s="533">
        <v>25.9</v>
      </c>
      <c r="KH28" s="910" t="s">
        <v>3066</v>
      </c>
      <c r="KI28" s="283">
        <v>52.8</v>
      </c>
    </row>
    <row r="29" spans="1:297">
      <c r="A29" s="995" t="s">
        <v>506</v>
      </c>
      <c r="B29" s="995"/>
      <c r="E29" s="193" t="s">
        <v>282</v>
      </c>
      <c r="F29" s="194"/>
      <c r="G29" s="995" t="s">
        <v>506</v>
      </c>
      <c r="H29" s="995"/>
      <c r="K29" s="143" t="s">
        <v>1016</v>
      </c>
      <c r="L29" s="142">
        <v>0</v>
      </c>
      <c r="M29" s="997" t="s">
        <v>93</v>
      </c>
      <c r="N29" s="997"/>
      <c r="Q29" s="244" t="s">
        <v>1050</v>
      </c>
      <c r="R29" s="142">
        <v>0</v>
      </c>
      <c r="S29" s="997" t="s">
        <v>93</v>
      </c>
      <c r="T29" s="997"/>
      <c r="W29" s="143" t="s">
        <v>1015</v>
      </c>
      <c r="X29" s="142">
        <v>64</v>
      </c>
      <c r="Y29" s="995" t="s">
        <v>992</v>
      </c>
      <c r="Z29" s="995"/>
      <c r="AC29" s="219" t="s">
        <v>1089</v>
      </c>
      <c r="AD29" s="219">
        <f>63+46</f>
        <v>109</v>
      </c>
      <c r="AE29" s="997" t="s">
        <v>93</v>
      </c>
      <c r="AF29" s="997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85" t="s">
        <v>1536</v>
      </c>
      <c r="EM29" s="985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2802</v>
      </c>
      <c r="KA29" s="61">
        <f>9+14.32+(9+9)</f>
        <v>41.32</v>
      </c>
      <c r="KB29" s="857" t="s">
        <v>506</v>
      </c>
      <c r="KD29" s="847" t="s">
        <v>2779</v>
      </c>
      <c r="KE29" s="847"/>
      <c r="KF29" s="337" t="s">
        <v>3056</v>
      </c>
      <c r="KG29" s="533">
        <v>63.1</v>
      </c>
      <c r="KH29" s="917" t="s">
        <v>3069</v>
      </c>
    </row>
    <row r="30" spans="1:297">
      <c r="A30" s="995" t="s">
        <v>992</v>
      </c>
      <c r="B30" s="995"/>
      <c r="E30" s="193" t="s">
        <v>372</v>
      </c>
      <c r="F30" s="194"/>
      <c r="G30" s="995" t="s">
        <v>992</v>
      </c>
      <c r="H30" s="995"/>
      <c r="K30" s="143" t="s">
        <v>1015</v>
      </c>
      <c r="L30" s="142">
        <v>64</v>
      </c>
      <c r="M30" s="962" t="s">
        <v>385</v>
      </c>
      <c r="N30" s="962"/>
      <c r="Q30"/>
      <c r="S30" s="962" t="s">
        <v>385</v>
      </c>
      <c r="T30" s="962"/>
      <c r="W30" s="143" t="s">
        <v>1014</v>
      </c>
      <c r="X30" s="142">
        <v>100.01</v>
      </c>
      <c r="Y30" s="997" t="s">
        <v>93</v>
      </c>
      <c r="Z30" s="997"/>
      <c r="AC30" s="142" t="s">
        <v>1087</v>
      </c>
      <c r="AD30" s="142">
        <v>65</v>
      </c>
      <c r="AE30" s="962" t="s">
        <v>385</v>
      </c>
      <c r="AF30" s="962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85" t="s">
        <v>1747</v>
      </c>
      <c r="FK30" s="985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3"/>
      <c r="JY30" s="833"/>
      <c r="JZ30" s="345" t="s">
        <v>2775</v>
      </c>
      <c r="KA30" s="61">
        <v>64</v>
      </c>
      <c r="KB30" s="857" t="s">
        <v>93</v>
      </c>
      <c r="KD30" s="815" t="s">
        <v>1958</v>
      </c>
      <c r="KE30" s="273">
        <f>SUM(KG6:KG6)</f>
        <v>0</v>
      </c>
      <c r="KF30" s="337" t="s">
        <v>3060</v>
      </c>
      <c r="KG30" s="533">
        <v>45.74</v>
      </c>
      <c r="KH30" s="855" t="s">
        <v>2420</v>
      </c>
    </row>
    <row r="31" spans="1:297" ht="12.75" customHeight="1">
      <c r="A31" s="997" t="s">
        <v>93</v>
      </c>
      <c r="B31" s="997"/>
      <c r="E31" s="193" t="s">
        <v>1007</v>
      </c>
      <c r="F31" s="170"/>
      <c r="G31" s="997" t="s">
        <v>93</v>
      </c>
      <c r="H31" s="997"/>
      <c r="K31" s="143" t="s">
        <v>1014</v>
      </c>
      <c r="L31" s="142">
        <v>50.01</v>
      </c>
      <c r="M31" s="998" t="s">
        <v>1001</v>
      </c>
      <c r="N31" s="998"/>
      <c r="Q31" s="143" t="s">
        <v>1052</v>
      </c>
      <c r="R31" s="142">
        <v>26</v>
      </c>
      <c r="S31" s="998" t="s">
        <v>1001</v>
      </c>
      <c r="T31" s="998"/>
      <c r="W31"/>
      <c r="Y31" s="962" t="s">
        <v>385</v>
      </c>
      <c r="Z31" s="962"/>
      <c r="AC31" s="142" t="s">
        <v>1090</v>
      </c>
      <c r="AD31" s="142">
        <v>10</v>
      </c>
      <c r="AE31" s="998" t="s">
        <v>1001</v>
      </c>
      <c r="AF31" s="998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3039</v>
      </c>
      <c r="JS31" s="893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2207</v>
      </c>
      <c r="KA31" s="203">
        <v>30.9</v>
      </c>
      <c r="KB31" s="857" t="s">
        <v>1034</v>
      </c>
      <c r="KD31" s="388" t="s">
        <v>2854</v>
      </c>
      <c r="KE31" s="273">
        <f>SUM(KG10:KG14)</f>
        <v>207569.52</v>
      </c>
      <c r="KF31" s="337" t="s">
        <v>3070</v>
      </c>
      <c r="KG31" s="533" t="s">
        <v>3071</v>
      </c>
      <c r="KH31" s="911" t="s">
        <v>3062</v>
      </c>
      <c r="KI31" s="61">
        <v>5</v>
      </c>
    </row>
    <row r="32" spans="1:297">
      <c r="A32" s="962" t="s">
        <v>385</v>
      </c>
      <c r="B32" s="962"/>
      <c r="E32" s="170"/>
      <c r="F32" s="170"/>
      <c r="G32" s="962" t="s">
        <v>385</v>
      </c>
      <c r="H32" s="962"/>
      <c r="K32"/>
      <c r="M32" s="994" t="s">
        <v>243</v>
      </c>
      <c r="N32" s="994"/>
      <c r="Q32" s="143" t="s">
        <v>1051</v>
      </c>
      <c r="R32" s="142">
        <v>55</v>
      </c>
      <c r="S32" s="994" t="s">
        <v>243</v>
      </c>
      <c r="T32" s="994"/>
      <c r="W32" s="243" t="s">
        <v>1072</v>
      </c>
      <c r="X32" s="243">
        <v>0</v>
      </c>
      <c r="Y32" s="998" t="s">
        <v>1001</v>
      </c>
      <c r="Z32" s="998"/>
      <c r="AE32" s="994" t="s">
        <v>243</v>
      </c>
      <c r="AF32" s="994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82" t="s">
        <v>1438</v>
      </c>
      <c r="DP32" s="982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40" t="s">
        <v>2170</v>
      </c>
      <c r="IO32" s="940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57"/>
      <c r="KD32" s="350" t="s">
        <v>1392</v>
      </c>
      <c r="KE32" s="2">
        <f>KG7</f>
        <v>0</v>
      </c>
      <c r="KF32" s="849" t="s">
        <v>2711</v>
      </c>
      <c r="KG32" s="78"/>
    </row>
    <row r="33" spans="1:297">
      <c r="A33" s="998" t="s">
        <v>1001</v>
      </c>
      <c r="B33" s="998"/>
      <c r="C33" s="3"/>
      <c r="D33" s="3"/>
      <c r="E33" s="246"/>
      <c r="F33" s="246"/>
      <c r="G33" s="998" t="s">
        <v>1001</v>
      </c>
      <c r="H33" s="998"/>
      <c r="K33" s="243" t="s">
        <v>1021</v>
      </c>
      <c r="L33" s="243"/>
      <c r="M33" s="996" t="s">
        <v>1034</v>
      </c>
      <c r="N33" s="996"/>
      <c r="Q33" s="143" t="s">
        <v>1016</v>
      </c>
      <c r="R33" s="142">
        <v>77.239999999999995</v>
      </c>
      <c r="S33" s="996" t="s">
        <v>1034</v>
      </c>
      <c r="T33" s="996"/>
      <c r="Y33" s="994" t="s">
        <v>243</v>
      </c>
      <c r="Z33" s="994"/>
      <c r="AC33" s="197" t="s">
        <v>1012</v>
      </c>
      <c r="AD33" s="142">
        <v>350</v>
      </c>
      <c r="AE33" s="996" t="s">
        <v>1034</v>
      </c>
      <c r="AF33" s="996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92" t="s">
        <v>1411</v>
      </c>
      <c r="DB33" s="993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57"/>
      <c r="KD33" s="346" t="s">
        <v>2165</v>
      </c>
      <c r="KE33" s="2">
        <f>SUM(KG8:KG9)</f>
        <v>10.25</v>
      </c>
      <c r="KF33" s="849" t="s">
        <v>2955</v>
      </c>
      <c r="KG33" s="78"/>
      <c r="KH33" s="849" t="s">
        <v>506</v>
      </c>
    </row>
    <row r="34" spans="1:297">
      <c r="A34" s="994" t="s">
        <v>243</v>
      </c>
      <c r="B34" s="994"/>
      <c r="E34" s="170"/>
      <c r="F34" s="170"/>
      <c r="G34" s="994" t="s">
        <v>243</v>
      </c>
      <c r="H34" s="994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96" t="s">
        <v>1034</v>
      </c>
      <c r="Z34" s="996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57"/>
      <c r="KD34" s="348" t="s">
        <v>2984</v>
      </c>
      <c r="KE34" s="2">
        <f>SUM(KG15:KG22)</f>
        <v>394.74000000000007</v>
      </c>
      <c r="KF34" s="9" t="s">
        <v>2196</v>
      </c>
      <c r="KG34" s="534">
        <v>346</v>
      </c>
      <c r="KH34" s="849" t="s">
        <v>93</v>
      </c>
    </row>
    <row r="35" spans="1:297" ht="14.25" customHeight="1">
      <c r="A35" s="1000" t="s">
        <v>342</v>
      </c>
      <c r="B35" s="1000"/>
      <c r="E35" s="187" t="s">
        <v>368</v>
      </c>
      <c r="F35" s="170"/>
      <c r="G35" s="1000" t="s">
        <v>342</v>
      </c>
      <c r="H35" s="1000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SUM(KG23:KG31)</f>
        <v>318.44</v>
      </c>
      <c r="KF35" s="412">
        <v>21.5</v>
      </c>
      <c r="KG35" s="534"/>
      <c r="KH35" s="849" t="s">
        <v>1034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3039</v>
      </c>
      <c r="KE36" s="893">
        <f>SUM(KG25:KG31)</f>
        <v>318.44</v>
      </c>
      <c r="KF36" s="386" t="s">
        <v>1411</v>
      </c>
      <c r="KG36" s="408">
        <f>KC19+KE37-KI21</f>
        <v>150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87" t="s">
        <v>1536</v>
      </c>
      <c r="DT37" s="988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2952</v>
      </c>
      <c r="KA37" s="533">
        <v>10</v>
      </c>
      <c r="KD37" s="341" t="s">
        <v>3067</v>
      </c>
      <c r="KE37" s="897">
        <v>100</v>
      </c>
      <c r="KF37" s="409">
        <v>10</v>
      </c>
      <c r="KG37" s="816" t="s">
        <v>2901</v>
      </c>
    </row>
    <row r="38" spans="1:297" ht="13.8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2926</v>
      </c>
      <c r="KA38" s="61">
        <f>45.73</f>
        <v>45.73</v>
      </c>
      <c r="KF38" s="409">
        <v>50</v>
      </c>
      <c r="KG38" s="543" t="s">
        <v>1828</v>
      </c>
      <c r="KH38" s="849" t="s">
        <v>2759</v>
      </c>
    </row>
    <row r="39" spans="1:297" ht="13.8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2933</v>
      </c>
      <c r="KA39" s="533">
        <v>33.03</v>
      </c>
      <c r="KF39" s="409">
        <v>45</v>
      </c>
      <c r="KG39" s="543" t="s">
        <v>2219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82" t="s">
        <v>1438</v>
      </c>
      <c r="DJ40" s="982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40" t="s">
        <v>2170</v>
      </c>
      <c r="II40" s="940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>
        <v>30</v>
      </c>
      <c r="KG40" s="543" t="s">
        <v>3037</v>
      </c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4"/>
      <c r="KC41" s="864"/>
      <c r="KD41" s="849"/>
      <c r="KE41" s="849"/>
      <c r="KF41" s="409">
        <v>6</v>
      </c>
      <c r="KG41" s="543" t="s">
        <v>3035</v>
      </c>
      <c r="KH41" s="849"/>
      <c r="KI41" s="849"/>
      <c r="KJ41" s="849"/>
      <c r="KK41" s="849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2937</v>
      </c>
      <c r="KA42" s="533">
        <v>13.15</v>
      </c>
      <c r="KE42" s="895"/>
      <c r="KF42" s="409"/>
      <c r="KG42" s="543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2934</v>
      </c>
      <c r="KA43" s="533">
        <v>38.200000000000003</v>
      </c>
      <c r="KB43" s="844"/>
      <c r="KC43" s="864"/>
      <c r="KD43" s="849"/>
      <c r="KE43" s="895"/>
      <c r="KF43" s="929" t="s">
        <v>3072</v>
      </c>
      <c r="KG43" s="532">
        <v>70</v>
      </c>
      <c r="KH43" s="849"/>
      <c r="KI43" s="849"/>
      <c r="KJ43" s="849"/>
      <c r="KK43" s="849"/>
    </row>
    <row r="44" spans="1:297" ht="13.8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2936</v>
      </c>
      <c r="KA44" s="533">
        <v>10.5</v>
      </c>
      <c r="KE44" s="895"/>
      <c r="KF44" s="754"/>
      <c r="KG44" s="401"/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2976</v>
      </c>
      <c r="KA45" s="61">
        <f>47.8+1.2+2.5+3.2</f>
        <v>54.7</v>
      </c>
      <c r="KF45" s="849" t="s">
        <v>2995</v>
      </c>
      <c r="KG45" s="849">
        <v>324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3039</v>
      </c>
      <c r="JY46" s="2">
        <f>SUM(KA38:KA46)</f>
        <v>301.70999999999998</v>
      </c>
      <c r="JZ46" s="337" t="s">
        <v>2962</v>
      </c>
      <c r="KA46" s="533">
        <v>26.5</v>
      </c>
      <c r="KF46" s="887" t="s">
        <v>3038</v>
      </c>
      <c r="KG46" s="849">
        <v>39.700000000000003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889" t="s">
        <v>2880</v>
      </c>
      <c r="KF47" s="849" t="s">
        <v>2597</v>
      </c>
      <c r="KG47" s="407">
        <v>110.1</v>
      </c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4" t="s">
        <v>2955</v>
      </c>
      <c r="KA48" s="78">
        <v>300</v>
      </c>
      <c r="KE48" s="888"/>
      <c r="KF48" s="909" t="s">
        <v>3058</v>
      </c>
      <c r="KG48" s="849">
        <v>81.84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81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E49" s="889"/>
      <c r="KF49" s="887" t="s">
        <v>3032</v>
      </c>
      <c r="KG49" s="849">
        <v>37.700000000000003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81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2977</v>
      </c>
      <c r="KF50" s="887" t="s">
        <v>3031</v>
      </c>
      <c r="KG50" s="849">
        <v>35.25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81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  <c r="KE51" s="889"/>
      <c r="KF51" s="909" t="s">
        <v>3059</v>
      </c>
      <c r="KG51" s="849">
        <v>98.58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81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2978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2963</v>
      </c>
      <c r="JY53" s="353">
        <v>200</v>
      </c>
      <c r="JZ53" s="409">
        <v>25</v>
      </c>
      <c r="KA53" s="543" t="s">
        <v>2901</v>
      </c>
      <c r="KE53" s="889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2938</v>
      </c>
      <c r="KG56" s="852"/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2940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2939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2943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2928</v>
      </c>
      <c r="KA61" s="407">
        <f>30/5.217</f>
        <v>5.7504312823461765</v>
      </c>
      <c r="KI61" s="390"/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2941</v>
      </c>
      <c r="KA62" s="796">
        <v>21.81</v>
      </c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2980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2929</v>
      </c>
      <c r="KA65" s="825">
        <v>36.200000000000003</v>
      </c>
    </row>
    <row r="66" spans="111:287">
      <c r="IJ66" s="398"/>
      <c r="IK66" s="344"/>
      <c r="IP66" s="400"/>
      <c r="JZ66" s="837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5" t="s">
        <v>2960</v>
      </c>
      <c r="KA67" s="835">
        <v>9.77</v>
      </c>
    </row>
    <row r="68" spans="111:287">
      <c r="IJ68" s="400"/>
      <c r="IP68" s="400"/>
      <c r="JZ68" s="835" t="s">
        <v>2959</v>
      </c>
      <c r="KA68" s="835">
        <v>11.9</v>
      </c>
    </row>
    <row r="69" spans="111:287">
      <c r="HO69" s="390"/>
      <c r="IG69" s="390"/>
      <c r="IJ69" s="400"/>
      <c r="JZ69" s="835" t="s">
        <v>2961</v>
      </c>
      <c r="KA69" s="835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2930</v>
      </c>
      <c r="KA71" s="796">
        <v>8</v>
      </c>
    </row>
    <row r="72" spans="111:287">
      <c r="IJ72" s="400"/>
      <c r="JY72" s="796" t="s">
        <v>2880</v>
      </c>
      <c r="JZ72" s="845" t="s">
        <v>2979</v>
      </c>
      <c r="KA72" s="843">
        <v>29.7</v>
      </c>
    </row>
    <row r="73" spans="111:287">
      <c r="IJ73" s="400"/>
      <c r="JZ73" s="11" t="s">
        <v>2942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KD17:KE17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6"/>
  <sheetViews>
    <sheetView workbookViewId="0">
      <selection activeCell="H23" sqref="H23"/>
    </sheetView>
  </sheetViews>
  <sheetFormatPr defaultRowHeight="13.2"/>
  <cols>
    <col min="1" max="1" width="1.33203125" customWidth="1"/>
    <col min="2" max="2" width="9.109375" bestFit="1" customWidth="1"/>
    <col min="3" max="3" width="11.33203125" bestFit="1" customWidth="1"/>
    <col min="4" max="4" width="8.109375" style="870" bestFit="1" customWidth="1"/>
    <col min="5" max="5" width="3" style="880" bestFit="1" customWidth="1"/>
    <col min="6" max="6" width="8.6640625" bestFit="1" customWidth="1"/>
    <col min="7" max="7" width="10.6640625" style="874" bestFit="1" customWidth="1"/>
    <col min="8" max="8" width="8.5546875" bestFit="1" customWidth="1"/>
    <col min="9" max="9" width="8" style="876" bestFit="1" customWidth="1"/>
    <col min="10" max="10" width="47.33203125" bestFit="1" customWidth="1"/>
  </cols>
  <sheetData>
    <row r="1" spans="1:10" ht="4.5" customHeight="1"/>
    <row r="2" spans="1:10">
      <c r="B2" s="63" t="s">
        <v>3034</v>
      </c>
      <c r="C2" s="63" t="s">
        <v>2999</v>
      </c>
      <c r="D2" s="63" t="s">
        <v>3000</v>
      </c>
      <c r="E2" s="881"/>
      <c r="F2" s="63" t="s">
        <v>2508</v>
      </c>
      <c r="G2" s="873"/>
      <c r="H2" s="211" t="s">
        <v>2998</v>
      </c>
      <c r="I2" s="63" t="s">
        <v>2997</v>
      </c>
      <c r="J2" s="11" t="s">
        <v>2996</v>
      </c>
    </row>
    <row r="3" spans="1:10" s="870" customFormat="1">
      <c r="B3" s="63"/>
      <c r="C3" s="63"/>
      <c r="D3" s="63"/>
      <c r="E3" s="881"/>
      <c r="F3" s="63"/>
      <c r="G3" s="873"/>
      <c r="H3" s="211"/>
      <c r="I3" s="227">
        <v>604000</v>
      </c>
      <c r="J3" s="11"/>
    </row>
    <row r="4" spans="1:10" s="932" customFormat="1">
      <c r="B4" s="63" t="s">
        <v>3079</v>
      </c>
      <c r="C4" s="227">
        <v>100000</v>
      </c>
      <c r="E4" s="885" t="s">
        <v>3024</v>
      </c>
      <c r="F4" s="227">
        <f>-C4</f>
        <v>-100000</v>
      </c>
      <c r="G4" s="934"/>
      <c r="H4" s="878"/>
      <c r="I4" s="227"/>
    </row>
    <row r="5" spans="1:10" s="932" customFormat="1" ht="2.25" customHeight="1">
      <c r="B5" s="63"/>
      <c r="C5" s="227"/>
      <c r="D5" s="227"/>
      <c r="E5" s="885"/>
      <c r="F5" s="933"/>
      <c r="G5" s="920"/>
      <c r="H5" s="878"/>
      <c r="I5" s="227"/>
    </row>
    <row r="6" spans="1:10" s="932" customFormat="1">
      <c r="B6" s="63"/>
      <c r="C6" s="227">
        <f>-C4</f>
        <v>-100000</v>
      </c>
      <c r="D6" s="883"/>
      <c r="E6" s="881" t="s">
        <v>3025</v>
      </c>
      <c r="F6" s="878">
        <f>-C6</f>
        <v>100000</v>
      </c>
      <c r="G6" s="920">
        <v>45166</v>
      </c>
      <c r="H6" s="878"/>
      <c r="I6" s="227"/>
      <c r="J6" s="925" t="s">
        <v>3080</v>
      </c>
    </row>
    <row r="7" spans="1:10" s="890" customFormat="1" ht="3" customHeight="1">
      <c r="A7" s="207"/>
      <c r="B7" s="227"/>
      <c r="C7" s="883"/>
      <c r="D7" s="883"/>
      <c r="E7" s="881"/>
      <c r="F7" s="884"/>
      <c r="G7" s="873"/>
      <c r="H7" s="211"/>
      <c r="I7" s="227">
        <f>$I$3+SUM($F$3:F7)</f>
        <v>604000</v>
      </c>
      <c r="J7" s="11"/>
    </row>
    <row r="8" spans="1:10" s="890" customFormat="1">
      <c r="B8" s="63"/>
      <c r="C8" s="227">
        <f>-F8-D8</f>
        <v>100000</v>
      </c>
      <c r="D8" s="227">
        <v>150000</v>
      </c>
      <c r="E8" s="885" t="s">
        <v>3024</v>
      </c>
      <c r="F8" s="896">
        <v>-250000</v>
      </c>
      <c r="G8" s="902">
        <v>45167</v>
      </c>
      <c r="H8" s="63"/>
      <c r="I8" s="227">
        <f>$I$3+SUM($F$3:F8)</f>
        <v>354000</v>
      </c>
      <c r="J8" s="891" t="s">
        <v>3041</v>
      </c>
    </row>
    <row r="9" spans="1:10">
      <c r="B9" s="63"/>
      <c r="C9" s="227"/>
      <c r="D9" s="878">
        <f>-D8</f>
        <v>-150000</v>
      </c>
      <c r="E9" s="882"/>
      <c r="G9" s="1002">
        <v>45167</v>
      </c>
      <c r="H9" s="63"/>
      <c r="I9" s="227"/>
      <c r="J9" s="891" t="s">
        <v>3042</v>
      </c>
    </row>
    <row r="10" spans="1:10" s="890" customFormat="1">
      <c r="B10" s="227">
        <f>-D9</f>
        <v>150000</v>
      </c>
      <c r="C10" s="227"/>
      <c r="D10" s="878"/>
      <c r="E10" s="882"/>
      <c r="F10" s="878"/>
      <c r="G10" s="1003"/>
      <c r="H10" s="63"/>
      <c r="I10" s="227">
        <f>$I$3+SUM($F$3:F10)</f>
        <v>354000</v>
      </c>
      <c r="J10" s="901" t="s">
        <v>3064</v>
      </c>
    </row>
    <row r="11" spans="1:10" s="890" customFormat="1">
      <c r="B11" s="63"/>
      <c r="C11" s="227">
        <f>-C8</f>
        <v>-100000</v>
      </c>
      <c r="D11" s="63"/>
      <c r="E11" s="881" t="s">
        <v>3025</v>
      </c>
      <c r="F11" s="878">
        <f>-C11</f>
        <v>100000</v>
      </c>
      <c r="G11" s="1003"/>
      <c r="H11" s="63"/>
      <c r="I11" s="227">
        <f>$I$3+SUM($F$3:F11)</f>
        <v>454000</v>
      </c>
    </row>
    <row r="12" spans="1:10" s="898" customFormat="1">
      <c r="B12" s="63"/>
      <c r="C12" s="227"/>
      <c r="D12" s="878"/>
      <c r="E12" s="882"/>
      <c r="F12" s="878"/>
      <c r="G12" s="899"/>
      <c r="H12" s="63"/>
      <c r="I12" s="227"/>
    </row>
    <row r="13" spans="1:10" s="924" customFormat="1">
      <c r="B13" s="63"/>
      <c r="C13" s="227">
        <v>-16000</v>
      </c>
      <c r="D13" s="878"/>
      <c r="E13" s="881" t="s">
        <v>3025</v>
      </c>
      <c r="F13" s="878">
        <f>-C13</f>
        <v>16000</v>
      </c>
      <c r="G13" s="928"/>
      <c r="H13" s="63"/>
      <c r="I13" s="227">
        <f>$I$3+SUM($F$3:F13)</f>
        <v>470000</v>
      </c>
      <c r="J13" s="924" t="s">
        <v>3073</v>
      </c>
    </row>
    <row r="14" spans="1:10" s="903" customFormat="1">
      <c r="B14" s="977" t="s">
        <v>3078</v>
      </c>
      <c r="C14" s="883">
        <v>100000</v>
      </c>
      <c r="D14" s="227">
        <f>-F14-C14</f>
        <v>150000</v>
      </c>
      <c r="E14" s="885" t="s">
        <v>3024</v>
      </c>
      <c r="F14" s="896">
        <v>-250000</v>
      </c>
      <c r="G14" s="931">
        <v>45168</v>
      </c>
      <c r="H14" s="63"/>
      <c r="I14" s="227">
        <f>$I$3+SUM($F$3:F14)</f>
        <v>220000</v>
      </c>
      <c r="J14" s="320" t="s">
        <v>3076</v>
      </c>
    </row>
    <row r="15" spans="1:10" s="930" customFormat="1">
      <c r="B15" s="1005"/>
      <c r="C15" s="883"/>
      <c r="D15" s="227"/>
      <c r="E15" s="885"/>
      <c r="F15" s="896"/>
      <c r="G15" s="931"/>
      <c r="H15" s="63"/>
      <c r="I15" s="227"/>
      <c r="J15" s="320"/>
    </row>
    <row r="16" spans="1:10" s="903" customFormat="1">
      <c r="B16" s="1005"/>
      <c r="C16" s="883"/>
      <c r="D16" s="63"/>
      <c r="E16" s="885"/>
      <c r="F16" s="884"/>
      <c r="G16" s="899"/>
      <c r="H16" s="63"/>
      <c r="I16" s="227"/>
      <c r="J16" s="904"/>
    </row>
    <row r="17" spans="2:10" s="926" customFormat="1">
      <c r="B17" s="978"/>
      <c r="C17" s="883">
        <v>-100000</v>
      </c>
      <c r="D17" s="227">
        <f>-D14</f>
        <v>-150000</v>
      </c>
      <c r="E17" s="881" t="s">
        <v>3025</v>
      </c>
      <c r="F17" s="884">
        <f>-C17-D17</f>
        <v>250000</v>
      </c>
      <c r="G17" s="1002">
        <v>45169</v>
      </c>
      <c r="H17" s="63"/>
      <c r="I17" s="227">
        <f>$I$3+SUM($F$3:F17)</f>
        <v>470000</v>
      </c>
      <c r="J17" s="927" t="s">
        <v>3075</v>
      </c>
    </row>
    <row r="18" spans="2:10">
      <c r="B18" s="63"/>
      <c r="C18" s="640">
        <v>100000</v>
      </c>
      <c r="D18" s="883">
        <f>-F18-C18</f>
        <v>120000</v>
      </c>
      <c r="E18" s="885" t="s">
        <v>3024</v>
      </c>
      <c r="F18" s="896">
        <v>-220000</v>
      </c>
      <c r="G18" s="1004"/>
      <c r="H18" s="63"/>
      <c r="I18" s="227">
        <f>$I$3+SUM($F$3:F18)</f>
        <v>250000</v>
      </c>
      <c r="J18" s="221" t="s">
        <v>3077</v>
      </c>
    </row>
    <row r="19" spans="2:10" s="918" customFormat="1">
      <c r="B19" s="63"/>
      <c r="C19" s="640"/>
      <c r="D19" s="883"/>
      <c r="E19" s="885"/>
      <c r="F19" s="896"/>
      <c r="G19" s="920"/>
      <c r="H19" s="63"/>
      <c r="I19" s="227"/>
      <c r="J19" s="919"/>
    </row>
    <row r="20" spans="2:10">
      <c r="B20" s="63"/>
      <c r="C20" s="227">
        <v>0</v>
      </c>
      <c r="D20" s="2">
        <v>250000</v>
      </c>
      <c r="E20" s="885" t="s">
        <v>3024</v>
      </c>
      <c r="F20" s="884">
        <f>-C20-D20</f>
        <v>-250000</v>
      </c>
      <c r="G20" s="1002">
        <v>45170</v>
      </c>
      <c r="H20" s="63"/>
      <c r="I20" s="227">
        <f>I3+SUM(F4:F20)</f>
        <v>0</v>
      </c>
      <c r="J20" s="904"/>
    </row>
    <row r="21" spans="2:10">
      <c r="B21" s="63"/>
      <c r="C21" s="63" t="s">
        <v>3074</v>
      </c>
      <c r="D21" s="878">
        <v>-5000</v>
      </c>
      <c r="E21" s="881"/>
      <c r="F21" s="878"/>
      <c r="G21" s="1004"/>
      <c r="H21" s="211"/>
      <c r="I21" s="63"/>
      <c r="J21" s="906" t="s">
        <v>3054</v>
      </c>
    </row>
    <row r="26" spans="2:10" ht="20.399999999999999">
      <c r="B26" s="935"/>
      <c r="C26" s="938" t="s">
        <v>3082</v>
      </c>
      <c r="D26" s="935"/>
      <c r="E26" s="936"/>
      <c r="F26" s="935"/>
      <c r="G26" s="937"/>
      <c r="H26" s="935"/>
      <c r="I26" s="935"/>
      <c r="J26" s="935"/>
    </row>
  </sheetData>
  <mergeCells count="4">
    <mergeCell ref="G9:G11"/>
    <mergeCell ref="G17:G18"/>
    <mergeCell ref="G20:G21"/>
    <mergeCell ref="B14:B17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2023-08-28T09:29:13Z</cp:lastPrinted>
  <dcterms:created xsi:type="dcterms:W3CDTF">1998-07-18T13:03:51Z</dcterms:created>
  <dcterms:modified xsi:type="dcterms:W3CDTF">2023-08-28T16:12:24Z</dcterms:modified>
</cp:coreProperties>
</file>