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1173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E4" i="32" l="1"/>
  <c r="JC19" i="32" l="1"/>
  <c r="JC28" i="32" l="1"/>
  <c r="JE3" i="32"/>
  <c r="JA2" i="32"/>
  <c r="JE7" i="32"/>
  <c r="JA26" i="32"/>
  <c r="JA22" i="32"/>
  <c r="JA24" i="32"/>
  <c r="JA25" i="32"/>
  <c r="JA27" i="32"/>
  <c r="JE2" i="32" l="1"/>
  <c r="IW14" i="32"/>
  <c r="IW13" i="32" s="1"/>
  <c r="JA23" i="32" l="1"/>
  <c r="JC5" i="32"/>
  <c r="IW26" i="32"/>
  <c r="IW19" i="32" l="1"/>
  <c r="IW16" i="32" l="1"/>
  <c r="G19" i="34" l="1"/>
  <c r="G21" i="34"/>
  <c r="G23" i="34"/>
  <c r="G30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<sst xmlns="http://schemas.openxmlformats.org/spreadsheetml/2006/main" count="6846" uniqueCount="2719">
  <si>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</si>
  <si>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</si>
  <si>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</si>
  <si>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</si>
  <si>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</si>
  <si>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</si>
  <si>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</si>
  <si>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</si>
  <si>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</si>
  <si>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</si>
  <si>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</si>
  <si>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</si>
  <si>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</si>
  <si>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</si>
  <si>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</si>
  <si>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</si>
  <si>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</si>
  <si>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</si>
  <si>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</si>
  <si>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</si>
  <si>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</si>
  <si>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</si>
  <si>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</si>
  <si>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</si>
  <si>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</si>
  <si>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</si>
  <si>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</si>
  <si>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</si>
  <si>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</si>
  <si>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</si>
  <si>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</si>
  <si>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</si>
  <si>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</si>
  <si>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</si>
  <si>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</si>
  <si>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</si>
  <si>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</si>
  <si>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</si>
  <si>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</si>
  <si>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</si>
  <si>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</si>
  <si>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</si>
  <si>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</si>
  <si>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</si>
  <si>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</si>
  <si>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</si>
  <si>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</si>
  <si>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</si>
  <si>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</si>
  <si>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</si>
  <si>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</si>
  <si>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</si>
  <si>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</si>
  <si>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</si>
  <si>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</si>
  <si>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</si>
  <si>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</si>
  <si>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</si>
  <si>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</si>
  <si>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</si>
  <si>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</si>
  <si>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</si>
  <si>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</si>
  <si>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</si>
  <si>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</si>
  <si>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</si>
  <si>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</si>
  <si>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</si>
  <si>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</si>
  <si>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</si>
  <si>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</si>
  <si>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</si>
  <si>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</si>
  <si>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</si>
  <si>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</si>
  <si>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</si>
  <si>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</si>
  <si>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</si>
  <si>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</si>
  <si>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</si>
  <si>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</si>
  <si>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</si>
  <si>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</si>
  <si>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</si>
  <si>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</si>
  <si>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</si>
  <si>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</si>
  <si>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</si>
  <si>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</si>
  <si>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</si>
  <si>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</si>
  <si>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</si>
  <si>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</si>
  <si>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</si>
  <si>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</si>
  <si>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</si>
  <si>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</si>
  <si>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</si>
  <si>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</si>
  <si>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</si>
  <si>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</si>
  <si>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</si>
  <si>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</si>
  <si>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</si>
  <si>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</si>
  <si>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</si>
  <si>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</si>
  <si>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</si>
  <si>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</si>
  <si>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</si>
  <si>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</si>
  <si>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</si>
  <si>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</si>
  <si>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</si>
  <si>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</si>
  <si>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</si>
  <si>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</si>
  <si>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</si>
  <si>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</si>
  <si>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</si>
  <si>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</si>
  <si>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</si>
  <si>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</si>
  <si>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</si>
  <si>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</si>
  <si>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</si>
  <si>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</si>
  <si>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</si>
  <si>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</si>
  <si>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</si>
  <si>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</si>
  <si>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</si>
  <si>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</si>
  <si>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</si>
  <si>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</si>
  <si>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</si>
  <si>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</si>
  <si>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</si>
  <si>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</si>
  <si>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</si>
  <si>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</si>
  <si>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</si>
  <si>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</si>
  <si>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</si>
  <si>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</si>
  <si>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</si>
  <si>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</si>
  <si>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</si>
  <si>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</si>
  <si>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</si>
  <si>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</si>
  <si>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</si>
  <si>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</si>
  <si>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</si>
  <si>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</si>
  <si>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</si>
  <si>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</si>
  <si>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</si>
  <si>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</si>
  <si>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</si>
  <si>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</si>
  <si>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</si>
  <si>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</si>
  <si>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</si>
  <si>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</si>
  <si>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</si>
  <si>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</si>
  <si>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</si>
  <si>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</si>
  <si>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</si>
  <si>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</si>
  <si>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</si>
  <si>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</si>
  <si>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</si>
  <si>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</si>
  <si>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</si>
  <si>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</si>
  <si>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</si>
  <si>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</si>
  <si>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</si>
  <si>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</si>
  <si>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</si>
  <si>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</si>
  <si>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</si>
  <si>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</si>
  <si>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</si>
  <si>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</si>
  <si>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</si>
  <si>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</si>
  <si>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</si>
  <si>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</si>
  <si>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</si>
  <si>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</si>
  <si>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</si>
  <si>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</si>
  <si>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</si>
  <si>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</si>
  <si>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</si>
  <si>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</si>
  <si>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</si>
  <si>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</si>
  <si>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</si>
  <si>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</si>
  <si>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</si>
  <si>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</si>
  <si>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</si>
  <si>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</si>
  <si>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</si>
  <si>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</si>
  <si>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</si>
  <si>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</si>
  <si>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</si>
  <si>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</si>
  <si>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</si>
  <si>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</si>
  <si>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</si>
  <si>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</si>
  <si>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</si>
  <si>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</si>
  <si>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</si>
  <si>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</si>
  <si>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</si>
  <si>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</si>
  <si>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</si>
  <si>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</si>
  <si>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</si>
  <si>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</si>
  <si>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</si>
  <si>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</si>
  <si>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</si>
  <si>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</si>
  <si>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</si>
  <si>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</si>
  <si>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</si>
  <si>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</si>
  <si>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</si>
  <si>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</si>
  <si>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</si>
  <si>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</si>
  <si>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</si>
  <si>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</si>
  <si>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</si>
  <si>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</si>
  <si>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</si>
  <si>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</si>
  <si>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</si>
  <si>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</si>
  <si>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</si>
  <si>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</si>
  <si>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</si>
  <si>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</si>
  <si>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</si>
  <si>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</si>
  <si>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</si>
  <si>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</si>
  <si>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</si>
  <si>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</si>
  <si>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</si>
  <si>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</si>
  <si>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</si>
  <si>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</si>
  <si>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</si>
  <si>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</si>
  <si>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</si>
  <si>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</si>
  <si>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</si>
  <si>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</si>
  <si>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</si>
  <si>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</si>
  <si>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</si>
  <si>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</si>
  <si>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</si>
  <si>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</si>
  <si>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</si>
  <si>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</si>
  <si>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</si>
  <si>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</si>
  <si>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</si>
  <si>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</si>
  <si>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</si>
  <si>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</si>
  <si>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</si>
  <si>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</si>
  <si>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</si>
  <si>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</si>
  <si>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</si>
  <si>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</si>
  <si>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</si>
  <si>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</si>
  <si>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</si>
  <si>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</si>
  <si>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</si>
  <si>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</si>
  <si>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</si>
  <si>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</si>
  <si>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</si>
  <si>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</si>
  <si>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</si>
  <si>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</si>
  <si>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</si>
  <si>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</si>
  <si>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</si>
  <si>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</si>
  <si>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</si>
  <si>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</si>
  <si>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</si>
  <si>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</si>
  <si>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</si>
  <si>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</si>
  <si>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</si>
  <si>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</si>
  <si>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</si>
  <si>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</si>
  <si>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</si>
  <si>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</si>
  <si>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</si>
  <si>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</si>
  <si>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</si>
  <si>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</si>
  <si>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</si>
  <si>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</si>
  <si>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</si>
  <si>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</si>
  <si>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</si>
  <si>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</si>
  <si>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</si>
  <si>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</si>
  <si>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</si>
  <si>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</si>
  <si>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</si>
  <si>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</si>
  <si>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</si>
  <si>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</si>
  <si>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</si>
  <si>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</si>
  <si>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</si>
  <si>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</si>
  <si>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</si>
  <si>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</si>
  <si>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</si>
  <si>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</si>
  <si>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</si>
  <si>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</si>
  <si>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</si>
  <si>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</si>
  <si>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</si>
  <si>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</si>
  <si>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</si>
  <si>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</si>
  <si>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</si>
  <si>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</si>
  <si>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</si>
  <si>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</si>
  <si>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</si>
  <si>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</si>
  <si>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</si>
  <si>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</si>
  <si>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</si>
  <si>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</si>
  <si>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</si>
  <si>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</si>
  <si>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</si>
  <si>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</si>
  <si>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</si>
  <si>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</si>
  <si>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</si>
  <si>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</si>
  <si>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</si>
  <si>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</si>
  <si>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</si>
  <si>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</si>
  <si>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</si>
  <si>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</si>
  <si>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</si>
  <si>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</si>
  <si>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</si>
  <si>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</si>
  <si>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</si>
  <si>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</si>
  <si>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</si>
  <si>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</si>
  <si>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</si>
  <si>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</si>
  <si>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</si>
  <si>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</si>
  <si>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</si>
  <si>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</si>
  <si>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</si>
  <si>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</si>
  <si>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</si>
  <si>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</si>
  <si>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</si>
  <si>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</si>
  <si>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</si>
  <si>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</si>
  <si>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</si>
  <si>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</si>
  <si>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</si>
  <si>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</si>
  <si>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</si>
  <si>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</si>
  <si>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</si>
  <si>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</si>
  <si>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</si>
  <si>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</si>
  <si>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</si>
  <si>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</si>
  <si>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</si>
  <si>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</si>
  <si>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</si>
  <si>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</si>
  <si>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</si>
  <si>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</si>
  <si>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</si>
  <si>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</si>
  <si>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</si>
  <si>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</si>
  <si>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</si>
  <si>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</si>
  <si>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</si>
  <si>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</si>
  <si>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</si>
  <si>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</si>
  <si>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</si>
  <si>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</si>
  <si>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</si>
  <si>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</si>
  <si>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</si>
  <si>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</si>
  <si>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</si>
  <si>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</si>
  <si>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</si>
  <si>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</si>
  <si>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</si>
  <si>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</si>
  <si>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</si>
  <si>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</si>
  <si>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</si>
  <si>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</si>
  <si>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</si>
  <si>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</si>
  <si>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</si>
  <si>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</si>
  <si>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</si>
  <si>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</si>
  <si>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</si>
  <si>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</si>
  <si>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</si>
  <si>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</si>
  <si>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</si>
  <si>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</si>
  <si>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</si>
  <si>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</si>
  <si>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</si>
  <si>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</si>
  <si>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</si>
  <si>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</si>
  <si>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</si>
  <si>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</si>
  <si>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</si>
  <si>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</si>
  <si>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</si>
  <si>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</si>
  <si>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</si>
  <si>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</si>
  <si>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</si>
  <si>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</si>
  <si>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</si>
  <si>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</si>
  <si>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</si>
  <si>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</si>
  <si>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</si>
  <si>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</si>
  <si>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</si>
  <si>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</si>
  <si>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</si>
  <si>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</si>
  <si>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</si>
  <si>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</si>
  <si>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</si>
  <si>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</si>
  <si>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</si>
  <si>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</si>
  <si>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</si>
  <si>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</si>
  <si>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</si>
  <si>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</si>
  <si>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</si>
  <si>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</si>
  <si>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</si>
  <si>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</si>
  <si>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</si>
  <si>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</si>
  <si>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</si>
  <si>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</si>
  <si>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</si>
  <si>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</si>
  <si>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</si>
  <si>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</si>
  <si>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</si>
  <si>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</si>
  <si>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</si>
  <si>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</si>
  <si>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</si>
  <si>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</si>
  <si>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</si>
  <si>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</si>
  <si>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</si>
  <si>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</si>
  <si>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</si>
  <si>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</si>
  <si>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</si>
  <si>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</si>
  <si>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</si>
  <si>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</si>
  <si>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</si>
  <si>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</si>
  <si>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</si>
  <si>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</si>
  <si>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</si>
  <si>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</si>
  <si>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</si>
  <si>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</si>
  <si>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</si>
  <si>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</si>
  <si>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</si>
  <si>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</si>
  <si>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</si>
  <si>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</si>
  <si>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</si>
  <si>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</si>
  <si>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</si>
  <si>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</si>
  <si>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</si>
  <si>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</si>
  <si>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</si>
  <si>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</si>
  <si>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</si>
  <si>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</si>
  <si>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</si>
  <si>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</si>
  <si>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</si>
  <si>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</si>
  <si>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</si>
  <si>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</si>
  <si>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</si>
  <si>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</si>
  <si>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</si>
  <si>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</si>
  <si>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</si>
  <si>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</si>
  <si>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</si>
  <si>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</si>
  <si>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</si>
  <si>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</si>
  <si>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</si>
  <si>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</si>
  <si>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</si>
  <si>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</si>
  <si>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</si>
  <si>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</si>
  <si>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</si>
  <si>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</si>
  <si>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</si>
  <si>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</si>
  <si>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</si>
  <si>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</si>
  <si>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</si>
  <si>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</si>
  <si>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</si>
  <si>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</si>
  <si>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</si>
  <si>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</si>
  <si>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</si>
  <si>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</si>
  <si>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</si>
  <si>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</si>
  <si>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</si>
  <si>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</si>
  <si>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</si>
  <si>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</si>
  <si>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</si>
  <si>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</si>
  <si>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</si>
  <si>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</si>
  <si>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</si>
  <si>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</si>
  <si>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</si>
  <si>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</si>
  <si>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</si>
  <si>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</si>
  <si>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</si>
  <si>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</si>
  <si>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</si>
  <si>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</si>
  <si>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</si>
  <si>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</si>
  <si>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</si>
  <si>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</si>
  <si>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</si>
  <si>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</si>
  <si>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</si>
  <si>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</si>
  <si>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</si>
  <si>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</si>
  <si>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</si>
  <si>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</si>
  <si>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</si>
  <si>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</si>
  <si>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</si>
  <si>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</si>
  <si>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</si>
  <si>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</si>
  <si>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</si>
  <si>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</si>
  <si>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</si>
  <si>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</si>
  <si>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</si>
  <si>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</si>
  <si>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</si>
  <si>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</si>
  <si>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</si>
  <si>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</si>
  <si>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</si>
  <si>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</si>
  <si>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</si>
  <si>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</si>
  <si>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</si>
  <si>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</si>
  <si>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</si>
  <si>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</si>
  <si>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</si>
  <si>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</si>
  <si>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</si>
  <si>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</si>
  <si>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</si>
  <si>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</si>
  <si>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</si>
  <si>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</si>
  <si>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</si>
  <si>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</si>
  <si>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</si>
  <si>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</si>
  <si>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</si>
  <si>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</si>
  <si>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</si>
  <si>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</si>
  <si>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</si>
  <si>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</si>
  <si>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</si>
  <si>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</si>
  <si>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</si>
  <si>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</si>
  <si>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</si>
  <si>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</si>
  <si>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</si>
  <si>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</si>
  <si>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</si>
  <si>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</si>
  <si>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</si>
  <si>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</si>
  <si>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</si>
  <si>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</si>
  <si>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</si>
  <si>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</si>
  <si>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</si>
  <si>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</si>
  <si>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</si>
  <si>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</si>
  <si>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</si>
  <si>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</si>
  <si>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</si>
  <si>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</si>
  <si>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</si>
  <si>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</si>
  <si>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</si>
  <si>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</si>
  <si>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</si>
  <si>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</si>
  <si>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</si>
  <si>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</si>
  <si>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</si>
  <si>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</si>
  <si>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</si>
  <si>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</si>
  <si>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</si>
  <si>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</si>
  <si>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</si>
  <si>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</si>
  <si>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</si>
  <si>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</si>
  <si>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</si>
  <si>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</si>
  <si>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</si>
  <si>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</si>
  <si>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</si>
  <si>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</si>
  <si>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</si>
  <si>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</si>
  <si>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</si>
  <si>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</si>
  <si>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</si>
  <si>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</si>
  <si>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</si>
  <si>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</si>
  <si>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</si>
  <si>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</si>
  <si>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</si>
  <si>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</si>
  <si>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</si>
  <si>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</si>
  <si>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</si>
  <si>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</si>
  <si>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</si>
  <si>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</si>
  <si>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</si>
  <si>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</si>
  <si>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</si>
  <si>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</si>
  <si>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</si>
  <si>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</si>
  <si>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</si>
  <si>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</si>
  <si>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</si>
  <si>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</si>
  <si>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</si>
  <si>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</si>
  <si>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</si>
  <si>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</si>
  <si>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</si>
  <si>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</si>
  <si>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</si>
  <si>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</si>
  <si>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</si>
  <si>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</si>
  <si>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</si>
  <si>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</si>
  <si>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</si>
  <si>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</si>
  <si>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</si>
  <si>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</si>
  <si>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</si>
  <si>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</si>
  <si>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</si>
  <si>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</si>
  <si>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</si>
  <si>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</si>
  <si>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</si>
  <si>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</si>
  <si>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</si>
  <si>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</si>
  <si>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</si>
  <si>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</si>
  <si>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</si>
  <si>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</si>
  <si>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</si>
  <si>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</si>
  <si>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</si>
  <si>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</si>
  <si>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</si>
  <si>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</si>
  <si>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</si>
  <si>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</si>
  <si>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</si>
  <si>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</si>
  <si>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</si>
  <si>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</si>
  <si>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</si>
  <si>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</si>
  <si>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</si>
  <si>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</si>
  <si>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</si>
  <si>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</si>
  <si>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</si>
  <si>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</si>
  <si>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</si>
  <si>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</si>
  <si>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</si>
  <si>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</si>
  <si>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</si>
  <si>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</si>
  <si>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</si>
  <si>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</si>
  <si>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</si>
  <si>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</si>
  <si>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</si>
  <si>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</si>
  <si>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</si>
  <si>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</si>
  <si>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</si>
  <si>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</si>
  <si>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</si>
  <si>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</si>
  <si>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</si>
  <si>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</si>
  <si>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</si>
  <si>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</si>
  <si>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</si>
  <si>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</si>
  <si>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</si>
  <si>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</si>
  <si>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</si>
  <si>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</si>
  <si>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</si>
  <si>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</si>
  <si>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</si>
  <si>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</si>
  <si>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</si>
  <si>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</si>
  <si>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</si>
  <si>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</si>
  <si>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</si>
  <si>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</si>
  <si>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</si>
  <si>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</si>
  <si>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</si>
  <si>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</si>
  <si>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</si>
  <si>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</si>
  <si>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</si>
  <si>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</si>
  <si>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</si>
  <si>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</si>
  <si>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</si>
  <si>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</si>
  <si>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</si>
  <si>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</si>
  <si>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</si>
  <si>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</si>
  <si>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</si>
  <si>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</si>
  <si>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</si>
  <si>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</si>
  <si>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</si>
  <si>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</si>
  <si>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</si>
  <si>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</si>
  <si>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</si>
  <si>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</si>
  <si>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</si>
  <si>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</si>
  <si>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</si>
  <si>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</si>
  <si>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</si>
  <si>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</si>
  <si>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</si>
  <si>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</si>
  <si>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</si>
  <si>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</si>
  <si>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</si>
  <si>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</si>
  <si>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</si>
  <si>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</si>
  <si>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</si>
  <si>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</si>
  <si>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</si>
  <si>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</si>
  <si>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</si>
  <si>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</si>
  <si>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</si>
  <si>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</si>
  <si>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</si>
  <si>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</si>
  <si>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</si>
  <si>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</si>
  <si>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</si>
  <si>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</si>
  <si>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</si>
  <si>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</si>
  <si>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</si>
  <si>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</si>
  <si>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</si>
  <si>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</si>
  <si>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</si>
  <si>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</si>
  <si>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</si>
  <si>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</si>
  <si>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</si>
  <si>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</si>
  <si>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</si>
  <si>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</si>
  <si>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</si>
  <si>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</si>
  <si>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</si>
  <si>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</si>
  <si>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</si>
  <si>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</si>
  <si>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</si>
  <si>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</si>
  <si>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</si>
  <si>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</si>
  <si>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</si>
  <si>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</si>
  <si>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</si>
  <si>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</si>
  <si>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</si>
  <si>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</si>
  <si>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</si>
  <si>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</si>
  <si>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</si>
  <si>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</si>
  <si>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</si>
  <si>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</si>
  <si>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</si>
  <si>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</si>
  <si>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</si>
  <si>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</si>
  <si>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</si>
  <si>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</si>
  <si>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</si>
  <si>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</si>
  <si>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</si>
  <si>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</si>
  <si>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</si>
  <si>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</si>
  <si>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</si>
  <si>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</si>
  <si>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</si>
  <si>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</si>
  <si>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</si>
  <si>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</si>
  <si>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</si>
  <si>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</si>
  <si>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</si>
  <si>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</si>
  <si>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</si>
  <si>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</si>
  <si>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</si>
  <si>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</si>
  <si>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</si>
  <si>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</si>
  <si>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</si>
  <si>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</si>
  <si>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</si>
  <si>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</si>
  <si>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</si>
  <si>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</si>
  <si>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</si>
  <si>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</si>
  <si>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</si>
  <si>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</si>
  <si>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</si>
  <si>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</si>
  <si>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</si>
  <si>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</si>
  <si>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</si>
  <si>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</si>
  <si>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</si>
  <si>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</si>
  <si>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</si>
  <si>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</si>
  <si>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</si>
  <si>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</si>
  <si>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</si>
  <si>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</si>
  <si>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</si>
  <si>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</si>
  <si>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</si>
  <si>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</si>
  <si>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</si>
  <si>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</si>
  <si>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</si>
  <si>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</si>
  <si>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</si>
  <si>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</si>
  <si>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</si>
  <si>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</si>
  <si>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</si>
  <si>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</si>
  <si>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</si>
  <si>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</si>
  <si>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</si>
  <si>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</si>
  <si>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</si>
  <si>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</si>
  <si>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</si>
  <si>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</si>
  <si>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</si>
  <si>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</si>
  <si>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</si>
  <si>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</si>
  <si>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</si>
  <si>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</si>
  <si>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</si>
  <si>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</si>
  <si>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</si>
  <si>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</si>
  <si>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</si>
  <si>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</si>
  <si>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</si>
  <si>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</si>
  <si>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</si>
  <si>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</si>
  <si>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</si>
  <si>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</si>
  <si>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</si>
  <si>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</si>
  <si>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</si>
  <si>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</si>
  <si>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</si>
  <si>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</si>
  <si>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</si>
  <si>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</si>
  <si>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</si>
  <si>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</si>
  <si>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</si>
  <si>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</si>
  <si>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</si>
  <si>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</si>
  <si>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</si>
  <si>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</si>
  <si>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</si>
  <si>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</si>
  <si>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</si>
  <si>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</si>
  <si>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</si>
  <si>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</si>
  <si>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</si>
  <si>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</si>
  <si>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</si>
  <si>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</si>
  <si>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</si>
  <si>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</si>
  <si>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</si>
  <si>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</si>
  <si>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</si>
  <si>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</si>
  <si>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</si>
  <si>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</si>
  <si>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</si>
  <si>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</si>
  <si>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</si>
  <si>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</si>
  <si>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</si>
  <si>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</si>
  <si>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</si>
  <si>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</si>
  <si>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</si>
  <si>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</si>
  <si>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</si>
  <si>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</si>
  <si>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</si>
  <si>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</si>
  <si>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</si>
  <si>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</si>
  <si>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</si>
  <si>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</si>
  <si>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</si>
  <si>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</si>
  <si>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</si>
  <si>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</si>
  <si>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</si>
  <si>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</si>
  <si>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</si>
  <si>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</si>
  <si>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</si>
  <si>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</si>
  <si>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</si>
  <si>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</si>
  <si>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</si>
  <si>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</si>
  <si>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</si>
  <si>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</si>
  <si>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</si>
  <si>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</si>
  <si>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</si>
  <si>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</si>
  <si>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</si>
  <si>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</si>
  <si>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</si>
  <si>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</si>
  <si>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</si>
  <si>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</si>
  <si>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</si>
  <si>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</si>
  <si>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</si>
  <si>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</si>
  <si>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</si>
  <si>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</si>
  <si>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</si>
  <si>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</si>
  <si>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</si>
  <si>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</si>
  <si>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</si>
  <si>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</si>
  <si>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</si>
  <si>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</si>
  <si>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</si>
  <si>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</si>
  <si>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</si>
  <si>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</si>
  <si>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</si>
  <si>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</si>
  <si>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</si>
  <si>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</si>
  <si>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</si>
  <si>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</si>
  <si>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</si>
  <si>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</si>
  <si>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</si>
  <si>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</si>
  <si>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</si>
  <si>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</si>
  <si>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</si>
  <si>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</si>
  <si>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</si>
  <si>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</si>
  <si>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</si>
  <si>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</si>
  <si>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</si>
  <si>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</si>
  <si>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</si>
  <si>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</si>
  <si>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</si>
  <si>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</si>
  <si>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</si>
  <si>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</si>
  <si>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</si>
  <si>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</si>
  <si>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</si>
  <si>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</si>
  <si>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</si>
  <si>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</si>
  <si>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</si>
  <si>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</si>
  <si>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</si>
  <si>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</si>
  <si>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</si>
  <si>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</si>
  <si>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</si>
  <si>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</si>
  <si>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</si>
  <si>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</si>
  <si>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</si>
  <si>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</si>
  <si>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</si>
  <si>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</si>
  <si>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</si>
  <si>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</si>
  <si>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</si>
  <si>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</si>
  <si>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</si>
  <si>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</si>
  <si>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</si>
  <si>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</si>
  <si>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</si>
  <si>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</si>
  <si>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</si>
  <si>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</si>
  <si>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</si>
  <si>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</si>
  <si>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</si>
  <si>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</si>
  <si>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</si>
  <si>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</si>
  <si>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</si>
  <si>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</si>
  <si>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</si>
  <si>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</si>
  <si>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</si>
  <si>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</si>
  <si>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</si>
  <si>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</si>
  <si>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</si>
  <si>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</si>
  <si>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</si>
  <si>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</si>
  <si>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</si>
  <si>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</si>
  <si>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</si>
  <si>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</si>
  <si>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</si>
  <si>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</si>
  <si>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</si>
  <si>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</si>
  <si>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</si>
  <si>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</si>
  <si>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</si>
  <si>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</si>
  <si>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</si>
  <si>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</si>
  <si>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</si>
  <si>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</si>
  <si>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</si>
  <si>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</si>
  <si>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</si>
  <si>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</si>
  <si>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</si>
  <si>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</si>
  <si>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</si>
  <si>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</si>
  <si>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</si>
  <si>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</si>
  <si>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</si>
  <si>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</si>
  <si>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</si>
  <si>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</si>
  <si>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</si>
  <si>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</si>
  <si>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</si>
  <si>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</si>
  <si>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</si>
  <si>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</si>
  <si>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</si>
  <si>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</si>
  <si>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</si>
  <si>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</si>
  <si>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</si>
  <si>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</si>
  <si>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</si>
  <si>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</si>
  <si>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</si>
  <si>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</si>
  <si>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</si>
  <si>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</si>
  <si>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</si>
  <si>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</si>
  <si>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</si>
  <si>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</si>
  <si>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</si>
  <si>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</si>
  <si>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</si>
  <si>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</si>
  <si>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</si>
  <si>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</si>
  <si>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</si>
  <si>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</si>
  <si>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</si>
  <si>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</si>
  <si>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</si>
  <si>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</si>
  <si>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</si>
  <si>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</si>
  <si>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</si>
  <si>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</si>
  <si>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</si>
  <si>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</si>
  <si>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</si>
  <si>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</si>
  <si>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</si>
  <si>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</si>
  <si>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</si>
  <si>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</si>
  <si>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</si>
  <si>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</si>
  <si>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</si>
  <si>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</si>
  <si>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</si>
  <si>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</si>
  <si>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</si>
  <si>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</si>
  <si>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</si>
  <si>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</si>
  <si>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</si>
  <si>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</si>
  <si>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</si>
  <si>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</si>
  <si>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</si>
  <si>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</si>
  <si>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</si>
  <si>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</si>
  <si>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</si>
  <si>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</si>
  <si>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</si>
  <si>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</si>
  <si>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</si>
  <si>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</si>
  <si>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</si>
  <si>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</si>
  <si>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</si>
  <si>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</si>
  <si>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</si>
  <si>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</si>
  <si>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</si>
  <si>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</si>
  <si>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</si>
  <si>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</si>
  <si>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</si>
  <si>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</si>
  <si>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</si>
  <si>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</si>
  <si>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</si>
  <si>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</si>
  <si>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</si>
  <si>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</si>
  <si>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</si>
  <si>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</si>
  <si>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</si>
  <si>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</si>
  <si>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</si>
  <si>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</si>
  <si>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</si>
  <si>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</si>
  <si>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</si>
  <si>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</si>
  <si>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</si>
  <si>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</si>
  <si>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</si>
  <si>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</si>
  <si>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</si>
  <si>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</si>
  <si>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</si>
  <si>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</si>
  <si>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</si>
  <si>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</si>
  <si>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</si>
  <si>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</si>
  <si>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</si>
  <si>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</si>
  <si>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</si>
  <si>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</si>
  <si>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</si>
  <si>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</si>
  <si>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</si>
  <si>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</si>
  <si>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</si>
  <si>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</si>
  <si>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</si>
  <si>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</si>
  <si>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</si>
  <si>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</si>
  <si>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</si>
  <si>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</si>
  <si>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</si>
  <si>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</si>
  <si>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</si>
  <si>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</si>
  <si>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</si>
  <si>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</si>
  <si>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</si>
  <si>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</si>
  <si>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</si>
  <si>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</si>
  <si>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</si>
  <si>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</si>
  <si>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</si>
  <si>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</si>
  <si>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</si>
  <si>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</si>
  <si>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</si>
  <si>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</si>
  <si>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</si>
  <si>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</si>
  <si>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</si>
  <si>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</si>
  <si>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</si>
  <si>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</si>
  <si>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</si>
  <si>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</si>
  <si>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</si>
  <si>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</si>
  <si>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</si>
  <si>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</si>
  <si>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</si>
  <si>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</si>
  <si>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</si>
  <si>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</si>
  <si>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</si>
  <si>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</si>
  <si>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</si>
  <si>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</si>
  <si>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</si>
  <si>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</si>
  <si>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</si>
  <si>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</si>
  <si>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</si>
  <si>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</si>
  <si>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</si>
  <si>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</si>
  <si>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</si>
  <si>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</si>
  <si>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</si>
  <si>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</si>
  <si>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</si>
  <si>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</si>
  <si>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</si>
  <si>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</si>
  <si>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</si>
  <si>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</si>
  <si>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</si>
  <si>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</si>
  <si>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</si>
  <si>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</si>
  <si>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</si>
  <si>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</si>
  <si>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</si>
  <si>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</si>
  <si>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</si>
  <si>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</si>
  <si>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</si>
  <si>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</si>
  <si>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</si>
  <si>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</si>
  <si>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</si>
  <si>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</si>
  <si>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</si>
  <si>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</si>
  <si>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</si>
  <si>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</si>
  <si>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</si>
  <si>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</si>
  <si>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</si>
  <si>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</si>
  <si>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</si>
  <si>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</si>
  <si>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</si>
  <si>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</si>
  <si>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</si>
  <si>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</si>
  <si>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</si>
  <si>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</si>
  <si>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</si>
  <si>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</si>
  <si>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</si>
  <si>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</si>
  <si>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</si>
  <si>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</si>
  <si>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</si>
  <si>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</si>
  <si>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</si>
  <si>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</si>
  <si>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</si>
  <si>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</si>
  <si>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</si>
  <si>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</si>
  <si>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</si>
  <si>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</si>
  <si>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</si>
  <si>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</si>
  <si>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</si>
  <si>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</si>
  <si>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</si>
  <si>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</si>
  <si>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</si>
  <si>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</si>
  <si>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</si>
  <si>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</si>
  <si>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</si>
  <si>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</si>
  <si>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</si>
  <si>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</si>
  <si>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</si>
  <si>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</si>
  <si>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</si>
  <si>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</si>
  <si>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</si>
  <si>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</si>
  <si>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</si>
  <si>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</si>
  <si>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</si>
  <si>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</si>
  <si>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</si>
  <si>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</si>
  <si>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</si>
  <si>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</si>
  <si>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</si>
  <si>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</si>
  <si>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</si>
  <si>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</si>
  <si>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</si>
  <si>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</si>
  <si>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</si>
  <si>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</si>
  <si>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</si>
  <si>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</si>
  <si>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</si>
  <si>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</si>
  <si>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</si>
  <si>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</si>
  <si>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</si>
  <si>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</si>
  <si>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</si>
  <si>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</si>
  <si>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</si>
  <si>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</si>
  <si>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</si>
  <si>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</si>
  <si>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</si>
  <si>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</si>
  <si>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</si>
  <si>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</si>
  <si>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</si>
  <si>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</si>
  <si>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</si>
  <si>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</si>
  <si>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</si>
  <si>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</si>
  <si>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</si>
  <si>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</si>
  <si>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</si>
  <si>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</si>
  <si>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</si>
  <si>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</si>
  <si>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</si>
  <si>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</si>
  <si>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</si>
  <si>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</si>
  <si>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</si>
  <si>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</si>
  <si>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</si>
  <si>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</si>
  <si>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</si>
  <si>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</si>
  <si>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</si>
  <si>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</si>
  <si>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</si>
  <si>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</si>
  <si>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</si>
  <si>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</si>
  <si>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</si>
  <si>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</si>
  <si>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</si>
  <si>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</si>
  <si>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</si>
  <si>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</si>
  <si>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</si>
  <si>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</si>
  <si>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</si>
  <si>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</si>
  <si>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</si>
  <si>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</si>
  <si>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</si>
  <si>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</si>
  <si>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</si>
  <si>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</si>
  <si>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</si>
  <si>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</si>
  <si>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</si>
  <si>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</si>
  <si>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</si>
  <si>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</si>
  <si>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</si>
  <si>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</si>
  <si>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</si>
  <si>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</si>
  <si>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</si>
  <si>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</si>
  <si>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</si>
  <si>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</si>
  <si>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</si>
  <si>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</si>
  <si>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</si>
  <si>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</si>
  <si>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</si>
  <si>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</si>
  <si>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</si>
  <si>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</si>
  <si>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</si>
  <si>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</si>
  <si>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</si>
  <si>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</si>
  <si>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</si>
  <si>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</si>
  <si>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</si>
  <si>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</si>
  <si>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</si>
  <si>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</si>
  <si>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</si>
  <si>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</si>
  <si>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</si>
  <si>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</si>
  <si>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</si>
  <si>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</si>
  <si>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</si>
  <si>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</si>
  <si>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</si>
  <si>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</si>
  <si>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</si>
  <si>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</si>
  <si>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</si>
  <si>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</si>
  <si>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</si>
  <si>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</si>
  <si>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</si>
  <si>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</si>
  <si>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</si>
  <si>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</si>
  <si>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</si>
  <si>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</si>
  <si>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</si>
  <si>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</si>
  <si>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</si>
  <si>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</si>
  <si>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</si>
  <si>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</si>
  <si>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</si>
  <si>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</si>
  <si>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</si>
  <si>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</si>
  <si>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</si>
  <si>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</si>
  <si>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</si>
  <si>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</si>
  <si>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</si>
  <si>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</si>
  <si>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</si>
  <si>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</si>
  <si>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</si>
  <si>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</si>
  <si>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</si>
  <si>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</si>
  <si>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</si>
  <si>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</si>
  <si>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</si>
  <si>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</si>
  <si>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</si>
  <si>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</si>
  <si>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</si>
  <si>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</si>
  <si>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</si>
  <si>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</si>
  <si>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</si>
  <si>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</si>
  <si>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</si>
  <si>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</si>
  <si>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</si>
  <si>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</si>
  <si>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</si>
  <si>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</si>
  <si>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</si>
  <si>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</si>
  <si>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</si>
  <si>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</si>
  <si>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</si>
  <si>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</si>
  <si>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</si>
  <si>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</si>
  <si>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</si>
  <si>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</si>
  <si>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</si>
  <si>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</si>
  <si>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</si>
  <si>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</si>
  <si>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</si>
  <si>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</si>
  <si>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</si>
  <si>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</si>
  <si>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</si>
  <si>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</si>
  <si>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</si>
  <si>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</si>
  <si>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</si>
  <si>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</si>
  <si>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</si>
  <si>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</si>
  <si>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</si>
  <si>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</si>
  <si>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</si>
  <si>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</si>
  <si>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</si>
  <si>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</si>
  <si>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</si>
  <si>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</si>
  <si>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</si>
  <si>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</si>
  <si>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</si>
  <si>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</si>
  <si>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</si>
  <si>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</si>
  <si>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</si>
  <si>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</si>
  <si>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</si>
  <si>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</si>
  <si>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</si>
  <si>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</si>
  <si>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</si>
  <si>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</si>
  <si>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</si>
  <si>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</si>
  <si>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</si>
  <si>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</si>
  <si>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</si>
  <si>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</si>
  <si>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</si>
  <si>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</si>
  <si>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</si>
  <si>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</si>
  <si>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</si>
  <si>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</si>
  <si>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</si>
  <si>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</si>
  <si>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</si>
  <si>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</si>
  <si>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</si>
  <si>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</si>
  <si>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</si>
  <si>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</si>
  <si>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</si>
  <si>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</si>
  <si>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</si>
  <si>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</si>
  <si>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</si>
  <si>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</si>
  <si>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</si>
  <si>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</si>
  <si>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</si>
  <si>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</si>
  <si>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</si>
  <si>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</si>
  <si>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</si>
  <si>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</si>
  <si>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</si>
  <si>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</si>
  <si>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</si>
  <si>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</si>
  <si>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</si>
  <si>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</si>
  <si>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</si>
  <si>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</si>
  <si>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</si>
  <si>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</si>
  <si>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</si>
  <si>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</si>
  <si>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</si>
  <si>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</si>
  <si>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</si>
  <si>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</si>
  <si>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</si>
  <si>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</si>
  <si>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</si>
  <si>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</si>
  <si>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</si>
  <si>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</si>
  <si>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</si>
  <si>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</si>
  <si>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</si>
  <si>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</si>
  <si>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</si>
  <si>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</si>
  <si>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</si>
  <si>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</si>
  <si>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</si>
  <si>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</si>
  <si>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</si>
  <si>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</si>
  <si>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</si>
  <si>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</si>
  <si>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</si>
  <si>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</si>
  <si>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</si>
  <si>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</si>
  <si>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</si>
  <si>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</si>
  <si>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</si>
  <si>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</si>
  <si>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</si>
  <si>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</si>
  <si>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</si>
  <si>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</si>
  <si>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</si>
  <si>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</si>
  <si>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</si>
  <si>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</si>
  <si>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</si>
  <si>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</si>
  <si>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</si>
  <si>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</si>
  <si>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</si>
  <si>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</si>
  <si>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</si>
  <si>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</si>
  <si>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</si>
  <si>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</si>
  <si>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</si>
  <si>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</si>
  <si>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</si>
  <si>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</si>
  <si>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</si>
  <si>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</si>
  <si>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</si>
  <si>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</si>
  <si>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</si>
  <si>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</si>
  <si>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</si>
  <si>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</si>
  <si>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</si>
  <si>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</si>
  <si>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</si>
  <si>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</si>
  <si>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</si>
  <si>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</si>
  <si>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</si>
  <si>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</si>
  <si>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</si>
  <si>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</si>
  <si>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</si>
  <si>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</si>
  <si>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</si>
  <si>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</si>
  <si>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</si>
  <si>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</si>
  <si>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</si>
  <si>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</si>
  <si>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</si>
  <si>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</si>
  <si>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</si>
  <si>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</si>
  <si>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</si>
  <si>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</si>
  <si>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</si>
  <si>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</si>
  <si>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</si>
  <si>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</si>
  <si>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</si>
  <si>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</si>
  <si>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</si>
  <si>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</si>
  <si>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</si>
  <si>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</si>
  <si>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</si>
  <si>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</si>
  <si>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</si>
  <si>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</si>
  <si>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</si>
  <si>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</si>
  <si>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</si>
  <si>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</si>
  <si>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</si>
  <si>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</si>
  <si>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</si>
  <si>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</si>
  <si>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</si>
  <si>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</si>
  <si>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</si>
  <si>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</si>
  <si>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</si>
  <si>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</si>
  <si>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</si>
  <si>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</si>
  <si>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</si>
  <si>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</si>
  <si>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</si>
  <si>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</si>
  <si>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</si>
  <si>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</si>
  <si>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</si>
  <si>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</si>
  <si>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</si>
  <si>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</si>
  <si>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</si>
  <si>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</si>
  <si>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</si>
  <si>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</si>
  <si>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</si>
  <si>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</si>
  <si>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</si>
  <si>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</si>
  <si>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</si>
  <si>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</si>
  <si>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</si>
  <si>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</si>
  <si>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</si>
  <si>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</si>
  <si>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</si>
  <si>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</si>
  <si>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</si>
  <si>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</si>
  <si>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</si>
  <si>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</si>
  <si>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</si>
  <si>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</si>
  <si>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</si>
  <si>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</si>
  <si>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</si>
  <si>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</si>
  <si>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</si>
  <si>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</si>
  <si>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</si>
  <si>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</si>
  <si>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</si>
  <si>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</si>
  <si>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</si>
  <si>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</si>
  <si>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</si>
  <si>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</si>
  <si>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</si>
  <si>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</si>
  <si>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</si>
  <si>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</si>
  <si>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</si>
  <si>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</si>
  <si>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</si>
  <si>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</si>
  <si>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</si>
  <si>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</si>
  <si>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</si>
  <si>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</si>
  <si>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</si>
  <si>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</si>
  <si>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</si>
  <si>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</si>
  <si>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</si>
  <si>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</si>
  <si>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</si>
  <si>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</si>
  <si>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</si>
  <si>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</si>
  <si>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</si>
  <si>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</si>
  <si>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</si>
  <si>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</si>
  <si>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</si>
  <si>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</si>
  <si>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</si>
  <si>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</si>
  <si>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</si>
  <si>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</si>
  <si>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</si>
  <si>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</si>
  <si>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</si>
  <si>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</si>
  <si>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</si>
  <si>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</si>
  <si>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</si>
  <si>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</si>
  <si>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</si>
  <si>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</si>
  <si>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</si>
  <si>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</si>
  <si>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</si>
  <si>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</si>
  <si>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</si>
  <si>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</si>
  <si>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</si>
  <si>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</si>
  <si>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</si>
  <si>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</si>
  <si>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</si>
  <si>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</si>
  <si>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</si>
  <si>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</si>
  <si>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</si>
  <si>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</si>
  <si>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</si>
  <si>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</si>
  <si>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</si>
  <si>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</si>
  <si>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</si>
  <si>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</si>
  <si>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</si>
  <si>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</si>
  <si>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</si>
  <si>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</si>
  <si>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</si>
  <si>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</si>
  <si>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</si>
  <si>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</si>
  <si>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</si>
  <si>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</si>
  <si>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</si>
  <si>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</si>
  <si>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</si>
  <si>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</si>
  <si>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</si>
  <si>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</si>
  <si>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</si>
  <si>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</si>
  <si>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</si>
  <si>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</si>
  <si>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</si>
  <si>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</si>
  <si>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</si>
  <si>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</si>
  <si>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</si>
  <si>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</si>
  <si>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</si>
  <si>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</si>
  <si>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</si>
  <si>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</si>
  <si>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</si>
  <si>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</si>
  <si>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</si>
  <si>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</si>
  <si>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</si>
  <si>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</si>
  <si>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</si>
  <si>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</si>
  <si>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</si>
  <si>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</si>
  <si>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</si>
  <si>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</si>
  <si>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</si>
  <si>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</si>
  <si>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</si>
  <si>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</si>
  <si>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</si>
  <si>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</si>
  <si>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</si>
  <si>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</si>
  <si>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</si>
  <si>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</si>
  <si>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</si>
  <si>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</si>
  <si>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</si>
  <si>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</si>
  <si>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</si>
  <si>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</si>
  <si>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</si>
  <si>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</si>
  <si>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</si>
  <si>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</si>
  <si>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</si>
  <si>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</si>
  <si>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</si>
  <si>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</si>
  <si>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</si>
  <si>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</si>
  <si>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</si>
  <si>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</si>
  <si>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</si>
  <si>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</si>
  <si>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</si>
  <si>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</si>
  <si>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</si>
  <si>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</si>
  <si>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</si>
  <si>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</si>
  <si>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</si>
  <si>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</si>
  <si>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</si>
  <si>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</si>
  <si>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</si>
  <si>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</si>
  <si>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</si>
  <si>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</si>
  <si>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</si>
  <si>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</si>
  <si>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</si>
  <si>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</si>
  <si>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</si>
  <si>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</si>
  <si>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</si>
  <si>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</si>
  <si>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</si>
  <si>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</si>
  <si>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</si>
  <si>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</si>
  <si>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</si>
  <si>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</si>
  <si>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</si>
  <si>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</si>
  <si>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</si>
  <si>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</si>
  <si>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</si>
  <si>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</si>
  <si>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</si>
  <si>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</si>
  <si>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</si>
  <si>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</si>
  <si>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</si>
  <si>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</si>
  <si>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</si>
  <si>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</si>
  <si>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</si>
  <si>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</si>
  <si>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</si>
  <si>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</si>
  <si>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</si>
  <si>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</si>
  <si>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</si>
  <si>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</si>
  <si>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</si>
  <si>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</si>
  <si>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</si>
  <si>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</si>
  <si>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</si>
  <si>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</si>
  <si>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</si>
  <si>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</si>
  <si>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</si>
  <si>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</si>
  <si>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</si>
  <si>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</si>
  <si>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</si>
  <si>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</si>
  <si>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</si>
  <si>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</si>
  <si>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</si>
  <si>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</si>
  <si>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</si>
  <si>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</si>
  <si>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</si>
  <si>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</si>
  <si>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</si>
  <si>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</si>
  <si>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</si>
  <si>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</si>
  <si>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</si>
  <si>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</si>
  <si>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</si>
  <si>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</si>
  <si>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</si>
  <si>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</si>
  <si>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</si>
  <si>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</si>
  <si>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</si>
  <si>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</si>
  <si>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</si>
  <si>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</si>
  <si>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</si>
  <si>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</si>
  <si>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</si>
  <si>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</si>
  <si>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</si>
  <si>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</si>
  <si>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</si>
  <si>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</si>
  <si>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</si>
  <si>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</si>
  <si>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</si>
  <si>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</si>
  <si>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</si>
  <si>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</si>
  <si>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</si>
  <si>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</si>
  <si>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</si>
  <si>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</si>
  <si>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</si>
  <si>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</si>
  <si>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</si>
  <si>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</si>
  <si>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</si>
  <si>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</si>
  <si>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</si>
  <si>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</si>
  <si>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</si>
  <si>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</si>
  <si>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</si>
  <si>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</si>
  <si>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</si>
  <si>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</si>
  <si>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</si>
  <si>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</si>
  <si>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</si>
  <si>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</si>
  <si>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</si>
  <si>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</si>
  <si>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</si>
  <si>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</si>
  <si>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</si>
  <si>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</si>
  <si>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</si>
  <si>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</si>
  <si>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</si>
  <si>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</si>
  <si>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</si>
  <si>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</si>
  <si>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</si>
  <si>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</si>
  <si>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</si>
  <si>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</si>
  <si>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</si>
  <si>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</si>
  <si>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</si>
  <si>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</si>
  <si>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</si>
  <si>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</si>
  <si>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</si>
  <si>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</si>
  <si>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</si>
  <si>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</si>
  <si>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</si>
  <si>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</si>
  <si>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</si>
  <si>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</si>
  <si>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</si>
  <si>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</si>
  <si>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</si>
  <si>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</si>
  <si>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</si>
  <si>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</si>
  <si>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</si>
  <si>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</si>
  <si>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</si>
  <si>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</si>
  <si>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</si>
  <si>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</si>
  <si>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</si>
  <si>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</si>
  <si>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</si>
  <si>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</si>
  <si>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</si>
  <si>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</si>
  <si>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</si>
  <si>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</si>
  <si>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</si>
  <si>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</si>
  <si>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</si>
  <si>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</si>
  <si>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</si>
  <si>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</si>
  <si>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</si>
  <si>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</si>
  <si>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</si>
  <si>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</si>
  <si>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</si>
  <si>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</si>
  <si>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</si>
  <si>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</si>
  <si>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</si>
  <si>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</si>
  <si>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</si>
  <si>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</si>
  <si>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</si>
  <si>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</si>
  <si>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</si>
  <si>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</si>
  <si>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</si>
  <si>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</si>
  <si>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</si>
  <si>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</si>
  <si>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</si>
  <si>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</si>
  <si>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</si>
  <si>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</si>
  <si>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</si>
  <si>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</si>
  <si>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</si>
  <si>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</si>
  <si>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</si>
  <si>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</si>
  <si>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</si>
  <si>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</si>
  <si>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</si>
  <si>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</si>
  <si>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</si>
  <si>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</si>
  <si>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</si>
  <si>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</si>
  <si>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</si>
  <si>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</si>
  <si>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</si>
  <si>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</si>
  <si>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</si>
  <si>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</si>
  <si>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</si>
  <si>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</si>
  <si>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</si>
  <si>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</si>
  <si>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</si>
  <si>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</si>
  <si>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</si>
  <si>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</si>
  <si>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</si>
  <si>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</si>
  <si>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</si>
  <si>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</si>
  <si>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</si>
  <si>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</si>
  <si>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</si>
  <si>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</si>
  <si>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</si>
  <si>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</si>
  <si>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</si>
  <si>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</si>
  <si>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</si>
  <si>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</si>
  <si>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</si>
  <si>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</si>
  <si>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</si>
  <si>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</si>
  <si>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</si>
  <si>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</si>
  <si>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</si>
  <si>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</si>
  <si>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</si>
  <si>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</si>
  <si>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</si>
  <si>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</si>
  <si>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</si>
  <si>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</si>
  <si>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</si>
  <si>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</si>
  <si>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</si>
  <si>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</si>
  <si>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</si>
  <si>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</si>
  <si>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</si>
  <si>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</si>
  <si>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</si>
  <si>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</si>
  <si>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</si>
  <si>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</si>
  <si>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</si>
  <si>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</si>
  <si>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</si>
  <si>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</si>
  <si>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</si>
  <si>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</si>
  <si>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</si>
  <si>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</si>
  <si>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</si>
  <si>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</si>
  <si>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</si>
  <si>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</si>
  <si>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</si>
  <si>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</si>
  <si>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</si>
  <si>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</si>
  <si>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</si>
  <si>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</si>
  <si>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</si>
  <si>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</si>
  <si>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</si>
  <si>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</si>
  <si>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</si>
  <si>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</si>
  <si>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</si>
  <si>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</si>
  <si>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</si>
  <si>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</si>
  <si>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</si>
  <si>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</si>
  <si>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</si>
  <si>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</si>
  <si>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</si>
  <si>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</si>
  <si>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</si>
  <si>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</si>
  <si>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</si>
  <si>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</si>
  <si>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</si>
  <si>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</si>
  <si>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</si>
  <si>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</si>
  <si>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</si>
  <si>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</si>
  <si>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</si>
  <si>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</si>
  <si>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</si>
  <si>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</si>
  <si>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</si>
  <si>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</si>
  <si>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</si>
  <si>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</si>
  <si>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</si>
  <si>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</si>
  <si>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</si>
  <si>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</si>
  <si>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</si>
  <si>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</si>
  <si>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</si>
  <si>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</si>
  <si>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</si>
  <si>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</si>
  <si>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</si>
  <si>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</si>
  <si>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</si>
  <si>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</si>
  <si>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</si>
  <si>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</si>
  <si>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</si>
  <si>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</si>
  <si>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</si>
  <si>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</si>
  <si>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</si>
  <si>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</si>
  <si>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</si>
  <si>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</si>
  <si>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</si>
  <si>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</si>
  <si>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</si>
  <si>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</si>
  <si>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</si>
  <si>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</si>
  <si>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</si>
  <si>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</si>
  <si>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</si>
  <si>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</si>
  <si>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</si>
  <si>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</si>
  <si>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</si>
  <si>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</si>
  <si>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</si>
  <si>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</si>
  <si>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</si>
  <si>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</si>
  <si>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</si>
  <si>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</si>
  <si>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</si>
  <si>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</si>
  <si>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</si>
  <si>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</si>
  <si>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</si>
  <si>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</si>
  <si>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</si>
  <si>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</si>
  <si>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</si>
  <si>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</si>
  <si>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</si>
  <si>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</si>
  <si>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</si>
  <si>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</si>
  <si>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</si>
  <si>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</si>
  <si>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</si>
  <si>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</si>
  <si>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</si>
  <si>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</si>
  <si>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</si>
  <si>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</si>
  <si>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</si>
  <si>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</si>
  <si>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</si>
  <si>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</si>
  <si>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</si>
  <si>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</si>
  <si>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</si>
  <si>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</si>
  <si>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</si>
  <si>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</si>
  <si>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</si>
  <si>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</si>
  <si>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</si>
  <si>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</si>
  <si>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</si>
  <si>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</si>
  <si>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</si>
  <si>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</si>
  <si>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</si>
  <si>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</si>
  <si>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</si>
  <si>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</si>
  <si>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</si>
  <si>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</si>
  <si>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</si>
  <si>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</si>
  <si>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</si>
  <si>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</si>
  <si>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</si>
  <si>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</si>
  <si>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</si>
  <si>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</si>
  <si>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</si>
  <si>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</si>
  <si>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</si>
  <si>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</si>
  <si>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</si>
  <si>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</si>
  <si>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</si>
  <si>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</si>
  <si>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</si>
  <si>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</si>
  <si>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</si>
  <si>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</si>
  <si>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</si>
  <si>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</si>
  <si>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</si>
  <si>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</si>
  <si>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</si>
  <si>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</si>
  <si>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</si>
  <si>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</si>
  <si>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</si>
  <si>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</si>
  <si>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</si>
  <si>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</si>
  <si>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</si>
  <si>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</si>
  <si>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</si>
  <si>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</si>
  <si>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</si>
  <si>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</si>
  <si>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</si>
  <si>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</si>
  <si>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</si>
  <si>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</si>
  <si>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</si>
  <si>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</si>
  <si>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</si>
  <si>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</si>
  <si>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</si>
  <si>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</si>
  <si>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</si>
  <si>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</si>
  <si>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</si>
  <si>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</si>
  <si>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</si>
  <si>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</si>
  <si>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</si>
  <si>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</si>
  <si>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</si>
  <si>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</si>
  <si>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</si>
  <si>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</si>
  <si>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</si>
  <si>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</si>
  <si>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</si>
  <si>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</si>
  <si>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</si>
  <si>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</si>
  <si>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</si>
  <si>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</si>
  <si>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</si>
  <si>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</si>
  <si>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</si>
  <si>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</si>
  <si>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</si>
  <si>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</si>
  <si>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</si>
  <si>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</si>
  <si>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</si>
  <si>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</si>
  <si>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</si>
  <si>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</si>
  <si>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</si>
  <si>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</si>
  <si>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</si>
  <si>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</si>
  <si>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</si>
  <si>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</si>
  <si>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</si>
  <si>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</si>
  <si>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</si>
  <si>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</si>
  <si>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</si>
  <si>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</si>
  <si>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</si>
  <si>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</si>
  <si>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</si>
  <si>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</si>
  <si>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</si>
  <si>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</si>
  <si>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</si>
  <si>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</si>
  <si>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</si>
  <si>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</si>
  <si>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</si>
  <si>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</si>
  <si>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</si>
  <si>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</si>
  <si>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</si>
  <si>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</si>
  <si>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</si>
  <si>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</si>
  <si>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</si>
  <si>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</si>
  <si>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</si>
  <si>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</si>
  <si>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</si>
  <si>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</si>
  <si>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</si>
  <si>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</si>
  <si>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</si>
  <si>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</si>
  <si>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</si>
  <si>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</si>
  <si>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</si>
  <si>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</si>
  <si>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</si>
  <si>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</si>
  <si>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</si>
  <si>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</si>
  <si>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</si>
  <si>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</si>
  <si>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</si>
  <si>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</si>
  <si>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</si>
  <si>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</si>
  <si>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</si>
  <si>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</si>
  <si>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</si>
  <si>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</si>
  <si>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</si>
  <si>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</si>
  <si>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</si>
  <si>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</si>
  <si>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</si>
  <si>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</si>
  <si>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</si>
  <si>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</si>
  <si>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</si>
  <si>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</si>
  <si>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</si>
  <si>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</si>
  <si>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</si>
  <si>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</si>
  <si>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</si>
  <si>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</si>
  <si>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</si>
  <si>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</si>
  <si>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</si>
  <si>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</si>
  <si>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</si>
  <si>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</si>
  <si>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</si>
  <si>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</si>
  <si>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</si>
  <si>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</si>
  <si>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</si>
  <si>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</si>
  <si>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</si>
  <si>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</si>
  <si>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</si>
  <si>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</si>
  <si>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</si>
  <si>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</si>
  <si>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</si>
  <si>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</si>
  <si>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</si>
  <si>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</si>
  <si>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</si>
  <si>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</si>
  <si>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</si>
  <si>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</si>
  <si>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</si>
  <si>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</si>
  <si>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</si>
  <si>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</si>
  <si>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</si>
  <si>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</si>
  <si>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</si>
  <si>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</si>
  <si>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</si>
  <si>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</si>
  <si>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</si>
  <si>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</si>
  <si>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</si>
  <si>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</si>
  <si>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</si>
  <si>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</si>
  <si>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</si>
  <si>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</si>
  <si>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</si>
  <si>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</si>
  <si>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</si>
  <si>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</si>
  <si>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</si>
  <si>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</si>
  <si>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</si>
  <si>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</si>
  <si>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</si>
  <si>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</si>
  <si>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</si>
  <si>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</si>
  <si>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</si>
  <si>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</si>
  <si>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</si>
  <si>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</si>
  <si>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</si>
  <si>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</si>
  <si>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</si>
  <si>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</si>
  <si>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</si>
  <si>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</si>
  <si>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</si>
  <si>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</si>
  <si>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</si>
  <si>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</si>
  <si>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</si>
  <si>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</si>
  <si>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</si>
  <si>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</si>
  <si>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</si>
  <si>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</si>
  <si>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</si>
  <si>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</si>
  <si>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</si>
  <si>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</si>
  <si>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</si>
  <si>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</si>
  <si>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</si>
  <si>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</si>
  <si>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</si>
  <si>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</si>
  <si>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</si>
  <si>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</si>
  <si>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</si>
  <si>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</si>
  <si>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</si>
  <si>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</si>
  <si>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</si>
  <si>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</si>
  <si>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</si>
  <si>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</si>
  <si>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</si>
  <si>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</si>
  <si>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</si>
  <si>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</si>
  <si>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</si>
  <si>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</si>
  <si>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</si>
  <si>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</si>
  <si>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</si>
  <si>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</si>
  <si>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</si>
  <si>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</si>
  <si>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</si>
  <si>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</si>
  <si>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</si>
  <si>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</si>
  <si>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</si>
  <si>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</si>
  <si>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</si>
  <si>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</si>
  <si>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</si>
  <si>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</si>
  <si>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</si>
  <si>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</si>
  <si>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</si>
  <si>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</si>
  <si>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</si>
  <si>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</si>
  <si>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xfer2wife # so far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</si>
  <si>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</si>
  <si>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</si>
  <si>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</si>
  <si>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</si>
  <si>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</si>
  <si>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</si>
  <si>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</si>
  <si>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</si>
  <si>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</si>
  <si>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</si>
  <si>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</si>
  <si>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</si>
  <si>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</si>
  <si>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 xml:space="preserve">boy meal </t>
  </si>
  <si>
    <t>Poems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</si>
</sst>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zoomScaleNormal="100" workbookViewId="0">
      <selection activeCell="H11" sqref="H11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0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56" t="s">
        <v>1892</v>
      </c>
      <c r="C2" s="756"/>
      <c r="D2" s="756"/>
      <c r="E2" s="748" t="s">
        <v>2537</v>
      </c>
      <c r="F2" s="748" t="s">
        <v>2570</v>
      </c>
      <c r="G2" s="611"/>
      <c r="H2" s="750"/>
      <c r="I2" s="757" t="s">
        <v>2712</v>
      </c>
      <c r="J2" s="757"/>
      <c r="K2" s="752" t="s">
        <v>2708</v>
      </c>
      <c r="L2" s="752" t="s">
        <v>2597</v>
      </c>
      <c r="M2" s="748" t="s">
        <v>2542</v>
      </c>
      <c r="N2" s="747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49"/>
      <c r="F3" s="749"/>
      <c r="G3" s="612"/>
      <c r="H3" s="751"/>
      <c r="I3" s="599" t="s">
        <v>2654</v>
      </c>
      <c r="J3" s="600" t="s">
        <v>2229</v>
      </c>
      <c r="K3" s="753"/>
      <c r="L3" s="753"/>
      <c r="M3" s="749"/>
      <c r="N3" s="747"/>
    </row>
    <row r="4" spans="2:16" s="692" customFormat="1" x14ac:dyDescent="0.2">
      <c r="B4" s="692">
        <v>38</v>
      </c>
      <c r="C4" s="692">
        <v>29</v>
      </c>
      <c r="D4" s="692">
        <v>130</v>
      </c>
      <c r="G4" s="693">
        <v>44958</v>
      </c>
      <c r="I4" s="692">
        <f>360-J4</f>
        <v>285</v>
      </c>
      <c r="J4" s="692">
        <v>75</v>
      </c>
      <c r="K4" s="692">
        <v>65</v>
      </c>
      <c r="L4" s="692">
        <v>176</v>
      </c>
      <c r="M4" s="692">
        <v>485.00099999999998</v>
      </c>
      <c r="N4" s="692" t="s">
        <v>2555</v>
      </c>
      <c r="O4" s="692" t="s">
        <v>2604</v>
      </c>
    </row>
    <row r="5" spans="2:16" s="692" customFormat="1" x14ac:dyDescent="0.2">
      <c r="B5" s="692" t="s">
        <v>2538</v>
      </c>
      <c r="C5" s="692">
        <v>8</v>
      </c>
      <c r="D5" s="692">
        <f>D4</f>
        <v>130</v>
      </c>
      <c r="E5" s="692" t="s">
        <v>2572</v>
      </c>
      <c r="F5" s="692" t="s">
        <v>311</v>
      </c>
      <c r="G5" s="693">
        <v>44975</v>
      </c>
      <c r="H5" s="694"/>
      <c r="I5" s="692">
        <f>360-J5</f>
        <v>285</v>
      </c>
      <c r="J5" s="692">
        <v>75</v>
      </c>
      <c r="K5" s="692">
        <v>65</v>
      </c>
      <c r="L5" s="692">
        <v>176</v>
      </c>
      <c r="M5" s="692">
        <v>418.00099999999998</v>
      </c>
      <c r="N5" s="692" t="s">
        <v>2555</v>
      </c>
    </row>
    <row r="6" spans="2:16" x14ac:dyDescent="0.2">
      <c r="B6" s="619"/>
      <c r="G6" s="613">
        <v>44985</v>
      </c>
      <c r="H6" s="673" t="s">
        <v>2606</v>
      </c>
      <c r="P6" s="606"/>
    </row>
    <row r="7" spans="2:16" x14ac:dyDescent="0.2">
      <c r="B7" s="619"/>
      <c r="G7" s="613">
        <v>44987</v>
      </c>
      <c r="H7" s="695" t="s">
        <v>2714</v>
      </c>
      <c r="P7" s="606"/>
    </row>
    <row r="8" spans="2:16" x14ac:dyDescent="0.2">
      <c r="B8" s="619"/>
      <c r="G8" s="613"/>
      <c r="H8" s="695"/>
      <c r="P8" s="606"/>
    </row>
    <row r="9" spans="2:16" x14ac:dyDescent="0.2">
      <c r="B9" s="619"/>
      <c r="G9" s="660" t="s">
        <v>2707</v>
      </c>
      <c r="H9" s="606" t="s">
        <v>2657</v>
      </c>
      <c r="O9" s="602"/>
      <c r="P9" s="606"/>
    </row>
    <row r="10" spans="2:16" x14ac:dyDescent="0.2">
      <c r="B10" s="619"/>
      <c r="G10" s="610">
        <v>45013</v>
      </c>
      <c r="H10" s="696" t="s">
        <v>2715</v>
      </c>
      <c r="O10" s="602"/>
      <c r="P10" s="606"/>
    </row>
    <row r="11" spans="2:16" x14ac:dyDescent="0.2">
      <c r="B11" s="619"/>
      <c r="G11" s="610">
        <v>45015</v>
      </c>
      <c r="H11" s="606"/>
      <c r="I11" s="594">
        <f>I5+K5</f>
        <v>350</v>
      </c>
      <c r="J11" s="594" t="s">
        <v>2678</v>
      </c>
    </row>
    <row r="12" spans="2:16" x14ac:dyDescent="0.2">
      <c r="B12" s="620"/>
      <c r="E12" s="608" t="s">
        <v>2569</v>
      </c>
      <c r="F12" s="602" t="s">
        <v>2661</v>
      </c>
      <c r="G12" s="610">
        <v>45016</v>
      </c>
      <c r="H12" s="606"/>
      <c r="I12" s="602">
        <v>192</v>
      </c>
      <c r="J12" s="594">
        <v>75</v>
      </c>
      <c r="K12" s="606">
        <v>0</v>
      </c>
      <c r="L12" s="606"/>
      <c r="M12" s="594">
        <f>M5-C11-ABS(I11-I12)</f>
        <v>260.00099999999998</v>
      </c>
      <c r="N12" s="606" t="s">
        <v>2565</v>
      </c>
    </row>
    <row r="13" spans="2:16" x14ac:dyDescent="0.2">
      <c r="B13" s="621"/>
      <c r="C13" s="758" t="s">
        <v>2540</v>
      </c>
      <c r="D13" s="758"/>
      <c r="E13" s="758"/>
      <c r="F13" s="758"/>
      <c r="G13" s="758"/>
      <c r="H13" s="758"/>
      <c r="I13" s="758"/>
      <c r="J13" s="758"/>
      <c r="K13" s="758"/>
      <c r="L13" s="758"/>
      <c r="M13" s="758"/>
      <c r="N13" s="758"/>
      <c r="O13" s="758"/>
      <c r="P13" s="758"/>
    </row>
    <row r="14" spans="2:16" ht="12.75" customHeight="1" x14ac:dyDescent="0.2">
      <c r="B14" s="620"/>
      <c r="C14" s="609" t="s">
        <v>2563</v>
      </c>
      <c r="D14" s="607"/>
      <c r="E14" s="748" t="s">
        <v>2537</v>
      </c>
      <c r="F14" s="748" t="s">
        <v>2570</v>
      </c>
      <c r="G14" s="612"/>
      <c r="H14" s="750" t="s">
        <v>2551</v>
      </c>
      <c r="I14" s="754" t="s">
        <v>2559</v>
      </c>
      <c r="J14" s="759" t="s">
        <v>2709</v>
      </c>
      <c r="K14" s="759"/>
      <c r="L14" s="752" t="s">
        <v>2681</v>
      </c>
      <c r="M14" s="748" t="s">
        <v>2542</v>
      </c>
      <c r="N14" s="747" t="s">
        <v>2552</v>
      </c>
    </row>
    <row r="15" spans="2:16" x14ac:dyDescent="0.2">
      <c r="B15" s="620"/>
      <c r="C15" s="597" t="s">
        <v>1890</v>
      </c>
      <c r="D15" s="598" t="s">
        <v>2452</v>
      </c>
      <c r="E15" s="749"/>
      <c r="F15" s="749"/>
      <c r="G15" s="614"/>
      <c r="H15" s="751"/>
      <c r="I15" s="755"/>
      <c r="J15" s="615" t="s">
        <v>2567</v>
      </c>
      <c r="K15" s="616" t="s">
        <v>1891</v>
      </c>
      <c r="L15" s="753"/>
      <c r="M15" s="749"/>
      <c r="N15" s="747"/>
    </row>
    <row r="16" spans="2:16" x14ac:dyDescent="0.2">
      <c r="B16" s="764">
        <v>10</v>
      </c>
      <c r="C16" s="764"/>
      <c r="G16" s="760">
        <v>45017</v>
      </c>
      <c r="H16" s="606" t="s">
        <v>2538</v>
      </c>
      <c r="I16" s="594">
        <v>80</v>
      </c>
      <c r="J16" s="674">
        <f>I12-I16-L16</f>
        <v>102</v>
      </c>
      <c r="K16" s="594">
        <v>75</v>
      </c>
      <c r="L16" s="594">
        <v>10</v>
      </c>
      <c r="O16" s="594" t="s">
        <v>2566</v>
      </c>
    </row>
    <row r="17" spans="2:18" x14ac:dyDescent="0.2">
      <c r="B17" s="620"/>
      <c r="E17" s="602"/>
      <c r="F17" s="602"/>
      <c r="G17" s="761"/>
      <c r="H17" s="620"/>
      <c r="N17" s="606"/>
      <c r="O17" s="594" t="s">
        <v>2564</v>
      </c>
    </row>
    <row r="18" spans="2:18" x14ac:dyDescent="0.2">
      <c r="B18" s="620"/>
      <c r="C18" s="594" t="s">
        <v>2538</v>
      </c>
      <c r="E18" s="695" t="s">
        <v>2713</v>
      </c>
      <c r="F18" s="695" t="s">
        <v>2694</v>
      </c>
      <c r="G18" s="610">
        <v>45020</v>
      </c>
      <c r="H18" s="620"/>
      <c r="M18" s="594">
        <f>M12-B16</f>
        <v>250.00099999999998</v>
      </c>
      <c r="N18" s="606"/>
    </row>
    <row r="19" spans="2:18" x14ac:dyDescent="0.2">
      <c r="B19" s="620"/>
      <c r="E19" s="695"/>
      <c r="F19" s="695"/>
      <c r="H19" s="620"/>
      <c r="N19" s="606"/>
    </row>
    <row r="20" spans="2:18" x14ac:dyDescent="0.2">
      <c r="B20" s="620"/>
      <c r="E20" s="762" t="s">
        <v>2710</v>
      </c>
      <c r="F20" s="763"/>
      <c r="G20" s="610">
        <v>45013</v>
      </c>
      <c r="H20" s="620"/>
      <c r="N20" s="606"/>
      <c r="O20" s="603" t="s">
        <v>2651</v>
      </c>
    </row>
    <row r="21" spans="2:18" x14ac:dyDescent="0.2">
      <c r="B21" s="620"/>
      <c r="E21" s="763"/>
      <c r="F21" s="763"/>
      <c r="G21" s="610" t="s">
        <v>2609</v>
      </c>
      <c r="H21" s="620"/>
      <c r="N21" s="606"/>
      <c r="O21" s="679" t="s">
        <v>2659</v>
      </c>
    </row>
    <row r="22" spans="2:18" x14ac:dyDescent="0.2">
      <c r="B22" s="620"/>
      <c r="E22" s="658"/>
      <c r="F22" s="658"/>
      <c r="H22" s="620"/>
      <c r="N22" s="606"/>
      <c r="O22" s="603"/>
    </row>
    <row r="23" spans="2:18" x14ac:dyDescent="0.2">
      <c r="B23" s="620"/>
      <c r="E23" s="644"/>
      <c r="F23" s="644"/>
      <c r="G23" s="661" t="s">
        <v>2662</v>
      </c>
      <c r="H23" s="659" t="s">
        <v>2656</v>
      </c>
      <c r="N23" s="606"/>
    </row>
    <row r="24" spans="2:18" x14ac:dyDescent="0.2">
      <c r="B24" s="620"/>
      <c r="E24" s="603"/>
      <c r="F24" s="603"/>
      <c r="G24" s="613">
        <v>45045</v>
      </c>
      <c r="H24" s="620"/>
      <c r="K24" s="606"/>
      <c r="L24" s="606"/>
      <c r="O24" s="604" t="s">
        <v>2611</v>
      </c>
    </row>
    <row r="25" spans="2:18" x14ac:dyDescent="0.2">
      <c r="B25" s="620"/>
      <c r="E25" s="602"/>
      <c r="F25" s="602"/>
      <c r="H25" s="620"/>
      <c r="N25" s="606"/>
      <c r="O25" s="603"/>
    </row>
    <row r="26" spans="2:18" x14ac:dyDescent="0.2">
      <c r="B26" s="621"/>
      <c r="C26" s="758" t="s">
        <v>2541</v>
      </c>
      <c r="D26" s="758"/>
      <c r="E26" s="758"/>
      <c r="F26" s="758"/>
      <c r="G26" s="758"/>
      <c r="H26" s="758"/>
      <c r="I26" s="758"/>
      <c r="J26" s="758"/>
      <c r="K26" s="758"/>
      <c r="L26" s="758"/>
      <c r="M26" s="758"/>
      <c r="N26" s="758"/>
      <c r="O26" s="758"/>
      <c r="P26" s="758"/>
    </row>
    <row r="27" spans="2:18" x14ac:dyDescent="0.2">
      <c r="B27" s="620"/>
      <c r="C27" s="594">
        <v>9</v>
      </c>
      <c r="E27" s="608" t="s">
        <v>2652</v>
      </c>
      <c r="F27" s="603" t="s">
        <v>2661</v>
      </c>
      <c r="G27" s="613">
        <v>45048</v>
      </c>
      <c r="H27" s="620"/>
      <c r="I27" s="594">
        <v>0</v>
      </c>
      <c r="J27" s="594">
        <f>J16-25</f>
        <v>77</v>
      </c>
      <c r="K27" s="594">
        <f>J5</f>
        <v>75</v>
      </c>
      <c r="L27" s="594">
        <v>10</v>
      </c>
      <c r="M27" s="594">
        <f>ABS(SUM(I16:L16)-M18-SUM(I27:L27))</f>
        <v>145.00099999999998</v>
      </c>
      <c r="O27" s="594" t="s">
        <v>2608</v>
      </c>
    </row>
    <row r="28" spans="2:18" x14ac:dyDescent="0.2">
      <c r="B28" s="620"/>
      <c r="C28" s="594" t="s">
        <v>2538</v>
      </c>
      <c r="E28" s="608" t="s">
        <v>2607</v>
      </c>
      <c r="F28" s="679" t="s">
        <v>2660</v>
      </c>
      <c r="G28" s="613" t="s">
        <v>2610</v>
      </c>
      <c r="H28" s="620"/>
      <c r="K28" s="606"/>
      <c r="L28" s="606"/>
      <c r="M28" s="594">
        <f>M27-C27</f>
        <v>136.00099999999998</v>
      </c>
      <c r="N28" s="594" t="s">
        <v>2553</v>
      </c>
      <c r="O28" s="594" t="s">
        <v>2556</v>
      </c>
    </row>
    <row r="29" spans="2:18" x14ac:dyDescent="0.2">
      <c r="B29" s="620"/>
      <c r="E29" s="603"/>
      <c r="F29" s="603"/>
      <c r="G29" s="613"/>
      <c r="H29" s="620"/>
      <c r="K29" s="606"/>
      <c r="L29" s="606"/>
      <c r="O29" s="604"/>
    </row>
    <row r="30" spans="2:18" x14ac:dyDescent="0.2">
      <c r="B30" s="620"/>
      <c r="E30" s="603"/>
      <c r="F30" s="603"/>
      <c r="G30" s="642">
        <v>45076</v>
      </c>
      <c r="H30" s="620"/>
      <c r="K30" s="606"/>
      <c r="L30" s="606"/>
      <c r="O30" s="594" t="s">
        <v>2588</v>
      </c>
      <c r="R30" s="604"/>
    </row>
    <row r="31" spans="2:18" x14ac:dyDescent="0.2">
      <c r="B31" s="620"/>
      <c r="C31" s="594">
        <f>20+1</f>
        <v>21</v>
      </c>
      <c r="D31" s="594" t="s">
        <v>2539</v>
      </c>
      <c r="E31" s="603"/>
      <c r="F31" s="603"/>
      <c r="G31" s="642">
        <v>45077</v>
      </c>
      <c r="H31" s="620"/>
      <c r="K31" s="606"/>
      <c r="L31" s="606"/>
      <c r="O31" s="594" t="s">
        <v>2550</v>
      </c>
      <c r="R31" s="604"/>
    </row>
    <row r="32" spans="2:18" x14ac:dyDescent="0.2">
      <c r="B32" s="620"/>
      <c r="E32" s="603"/>
      <c r="F32" s="603"/>
      <c r="G32" s="613">
        <v>45077</v>
      </c>
      <c r="H32" s="606">
        <v>4</v>
      </c>
      <c r="I32" s="594" t="s">
        <v>2557</v>
      </c>
      <c r="K32" s="606"/>
      <c r="L32" s="606"/>
      <c r="R32" s="604"/>
    </row>
    <row r="33" spans="2:18" x14ac:dyDescent="0.2">
      <c r="B33" s="620"/>
      <c r="E33" s="603"/>
      <c r="F33" s="603"/>
      <c r="G33" s="613">
        <v>45077</v>
      </c>
      <c r="H33" s="606">
        <v>4.2</v>
      </c>
      <c r="I33" s="594" t="s">
        <v>2558</v>
      </c>
      <c r="K33" s="606"/>
      <c r="L33" s="606"/>
      <c r="O33" s="594" t="s">
        <v>2568</v>
      </c>
      <c r="R33" s="604"/>
    </row>
    <row r="34" spans="2:18" x14ac:dyDescent="0.2">
      <c r="B34" s="620"/>
      <c r="E34" s="603"/>
      <c r="F34" s="603"/>
      <c r="G34" s="613"/>
      <c r="H34" s="606"/>
      <c r="K34" s="606"/>
      <c r="L34" s="606"/>
      <c r="R34" s="604"/>
    </row>
    <row r="35" spans="2:18" x14ac:dyDescent="0.2">
      <c r="B35" s="620"/>
      <c r="G35" s="641">
        <v>45078</v>
      </c>
      <c r="H35" s="606"/>
      <c r="K35" s="606"/>
      <c r="L35" s="606"/>
      <c r="O35" s="594" t="s">
        <v>2562</v>
      </c>
    </row>
    <row r="36" spans="2:18" x14ac:dyDescent="0.2">
      <c r="B36" s="620"/>
      <c r="C36" s="594" t="s">
        <v>2538</v>
      </c>
      <c r="E36" s="608" t="s">
        <v>2571</v>
      </c>
      <c r="F36" s="605" t="s">
        <v>1883</v>
      </c>
      <c r="G36" s="641">
        <v>45079</v>
      </c>
      <c r="H36" s="606"/>
      <c r="K36" s="606"/>
      <c r="L36" s="606"/>
      <c r="M36" s="594">
        <f>M28-C31</f>
        <v>115.00099999999998</v>
      </c>
      <c r="N36" s="594" t="s">
        <v>2554</v>
      </c>
      <c r="O36" s="594" t="s">
        <v>2612</v>
      </c>
    </row>
    <row r="37" spans="2:18" x14ac:dyDescent="0.2">
      <c r="B37" s="620"/>
      <c r="E37" s="604"/>
      <c r="F37" s="604"/>
      <c r="H37" s="606"/>
      <c r="K37" s="606"/>
      <c r="L37" s="606"/>
    </row>
    <row r="38" spans="2:18" x14ac:dyDescent="0.2">
      <c r="B38" s="620"/>
      <c r="E38" s="605"/>
      <c r="H38" s="606"/>
      <c r="K38" s="606"/>
      <c r="L38" s="606"/>
    </row>
    <row r="39" spans="2:18" x14ac:dyDescent="0.2">
      <c r="B39" s="620"/>
      <c r="E39" s="605"/>
      <c r="G39" s="613">
        <v>45104</v>
      </c>
      <c r="H39" s="606"/>
      <c r="K39" s="606"/>
      <c r="L39" s="606"/>
      <c r="O39" s="594" t="s">
        <v>2548</v>
      </c>
    </row>
    <row r="40" spans="2:18" x14ac:dyDescent="0.2">
      <c r="B40" s="620"/>
      <c r="C40" s="594">
        <f>113+1</f>
        <v>114</v>
      </c>
      <c r="D40" s="594" t="s">
        <v>2539</v>
      </c>
      <c r="G40" s="613">
        <v>45105</v>
      </c>
      <c r="H40" s="606"/>
      <c r="K40" s="606"/>
      <c r="L40" s="606"/>
      <c r="O40" s="594" t="s">
        <v>2549</v>
      </c>
    </row>
    <row r="41" spans="2:18" x14ac:dyDescent="0.2">
      <c r="B41" s="620"/>
      <c r="G41" s="613">
        <v>45107</v>
      </c>
      <c r="H41" s="606"/>
      <c r="K41" s="606"/>
      <c r="L41" s="606"/>
      <c r="O41" s="594" t="s">
        <v>2562</v>
      </c>
    </row>
    <row r="42" spans="2:18" x14ac:dyDescent="0.2">
      <c r="B42" s="620"/>
      <c r="D42" s="594">
        <v>0</v>
      </c>
      <c r="E42" s="643" t="s">
        <v>2545</v>
      </c>
      <c r="F42" s="643" t="s">
        <v>2546</v>
      </c>
      <c r="G42" s="613">
        <v>45110</v>
      </c>
      <c r="H42" s="606"/>
      <c r="K42" s="606"/>
      <c r="L42" s="606"/>
    </row>
    <row r="43" spans="2:18" x14ac:dyDescent="0.2">
      <c r="H43" s="606"/>
      <c r="K43" s="606"/>
      <c r="L43" s="606"/>
    </row>
    <row r="44" spans="2:18" x14ac:dyDescent="0.2">
      <c r="H44" s="606"/>
      <c r="K44" s="606"/>
      <c r="L44" s="606"/>
      <c r="O44" s="622" t="s">
        <v>2547</v>
      </c>
      <c r="P44" s="623">
        <v>10000</v>
      </c>
    </row>
    <row r="45" spans="2:18" x14ac:dyDescent="0.2">
      <c r="O45" s="622" t="s">
        <v>2544</v>
      </c>
      <c r="P45" s="624">
        <f>3.78%-2.5%</f>
        <v>1.2799999999999999E-2</v>
      </c>
    </row>
    <row r="46" spans="2:18" x14ac:dyDescent="0.2">
      <c r="O46" s="622" t="s">
        <v>2543</v>
      </c>
      <c r="P46" s="625">
        <f>P44*P45/12</f>
        <v>10.666666666666666</v>
      </c>
    </row>
  </sheetData>
  <mergeCells count="22">
    <mergeCell ref="C26:P26"/>
    <mergeCell ref="C13:P13"/>
    <mergeCell ref="J14:K14"/>
    <mergeCell ref="L14:L15"/>
    <mergeCell ref="G16:G17"/>
    <mergeCell ref="E20:F21"/>
    <mergeCell ref="B16:C16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65" t="s">
        <v>1914</v>
      </c>
      <c r="D3" s="765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zoomScaleNormal="100" workbookViewId="0">
      <selection activeCell="G21" sqref="G2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2636</v>
      </c>
      <c r="E3" s="263"/>
      <c r="F3" s="263"/>
      <c r="G3" s="767">
        <v>44958</v>
      </c>
      <c r="H3" s="768"/>
      <c r="I3" s="648"/>
      <c r="J3" s="767">
        <v>43891</v>
      </c>
      <c r="K3" s="768"/>
      <c r="L3" s="306"/>
      <c r="M3" s="767">
        <v>43739</v>
      </c>
      <c r="N3" s="768"/>
    </row>
    <row r="4" spans="2:14" x14ac:dyDescent="0.2">
      <c r="B4" s="63" t="s">
        <v>324</v>
      </c>
      <c r="C4" s="71" t="s">
        <v>2642</v>
      </c>
      <c r="D4" s="63" t="s">
        <v>1053</v>
      </c>
      <c r="E4" s="63" t="s">
        <v>309</v>
      </c>
      <c r="F4" s="63" t="s">
        <v>1200</v>
      </c>
      <c r="G4" s="652"/>
      <c r="H4" s="233">
        <f>K4</f>
        <v>20000</v>
      </c>
      <c r="I4" s="233"/>
      <c r="J4" s="652"/>
      <c r="K4" s="656">
        <f>N4</f>
        <v>20000</v>
      </c>
      <c r="L4" s="233"/>
      <c r="M4" s="652"/>
      <c r="N4" s="233">
        <v>20000</v>
      </c>
    </row>
    <row r="5" spans="2:14" x14ac:dyDescent="0.2">
      <c r="B5" s="63" t="s">
        <v>324</v>
      </c>
      <c r="C5" s="71" t="s">
        <v>2642</v>
      </c>
      <c r="D5" s="71" t="s">
        <v>1053</v>
      </c>
      <c r="E5" s="63" t="s">
        <v>2643</v>
      </c>
      <c r="F5" s="63" t="s">
        <v>1200</v>
      </c>
      <c r="G5" s="652"/>
      <c r="H5" s="233">
        <f>300*6</f>
        <v>1800</v>
      </c>
      <c r="I5" s="233"/>
      <c r="J5" s="652"/>
      <c r="K5" s="656">
        <f>N5</f>
        <v>1200</v>
      </c>
      <c r="L5" s="233"/>
      <c r="M5" s="652"/>
      <c r="N5" s="233">
        <f>200*6</f>
        <v>1200</v>
      </c>
    </row>
    <row r="6" spans="2:14" x14ac:dyDescent="0.2">
      <c r="B6" s="63" t="s">
        <v>317</v>
      </c>
      <c r="C6" s="71" t="s">
        <v>2642</v>
      </c>
      <c r="D6" s="71" t="s">
        <v>1060</v>
      </c>
      <c r="E6" s="63" t="s">
        <v>2646</v>
      </c>
      <c r="F6" s="63" t="s">
        <v>1200</v>
      </c>
      <c r="G6" s="652"/>
      <c r="H6" s="233">
        <v>23000</v>
      </c>
      <c r="I6" s="233"/>
      <c r="J6" s="652"/>
      <c r="K6" s="233">
        <v>0</v>
      </c>
      <c r="L6" s="233"/>
      <c r="M6" s="652"/>
      <c r="N6" s="233">
        <v>0</v>
      </c>
    </row>
    <row r="7" spans="2:14" s="645" customFormat="1" x14ac:dyDescent="0.2">
      <c r="B7" s="63" t="s">
        <v>317</v>
      </c>
      <c r="C7" s="71" t="s">
        <v>317</v>
      </c>
      <c r="D7" s="71" t="s">
        <v>1060</v>
      </c>
      <c r="E7" s="63" t="s">
        <v>2645</v>
      </c>
      <c r="F7" s="63" t="s">
        <v>1200</v>
      </c>
      <c r="G7" s="652"/>
      <c r="H7" s="233">
        <v>2000</v>
      </c>
      <c r="I7" s="233"/>
      <c r="J7" s="652"/>
      <c r="K7" s="233">
        <v>564</v>
      </c>
      <c r="L7" s="233"/>
      <c r="M7" s="652"/>
      <c r="N7" s="233">
        <v>6100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2647</v>
      </c>
      <c r="F8" s="63" t="s">
        <v>1200</v>
      </c>
      <c r="G8" s="652"/>
      <c r="H8" s="233">
        <v>1500</v>
      </c>
      <c r="I8" s="233"/>
      <c r="J8" s="652"/>
      <c r="K8" s="233">
        <v>1642</v>
      </c>
      <c r="L8" s="233"/>
      <c r="M8" s="652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2648</v>
      </c>
      <c r="F9" s="63" t="s">
        <v>329</v>
      </c>
      <c r="G9" s="652"/>
      <c r="H9" s="233">
        <v>1500</v>
      </c>
      <c r="I9" s="233"/>
      <c r="J9" s="652"/>
      <c r="K9" s="233">
        <v>2031</v>
      </c>
      <c r="L9" s="233"/>
      <c r="M9" s="652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2649</v>
      </c>
      <c r="F10" s="63" t="s">
        <v>1200</v>
      </c>
      <c r="G10" s="652"/>
      <c r="H10" s="233">
        <f>13700+2000</f>
        <v>15700</v>
      </c>
      <c r="I10" s="233"/>
      <c r="J10" s="652"/>
      <c r="K10" s="233">
        <v>57781</v>
      </c>
      <c r="L10" s="233"/>
      <c r="M10" s="652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2624</v>
      </c>
      <c r="F11" s="63" t="s">
        <v>2630</v>
      </c>
      <c r="G11" s="652"/>
      <c r="H11" s="233" t="s">
        <v>2626</v>
      </c>
      <c r="I11" s="233"/>
      <c r="J11" s="652"/>
      <c r="K11" s="233">
        <v>-46000</v>
      </c>
      <c r="L11" s="233"/>
      <c r="M11" s="652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2"/>
      <c r="H12" s="233">
        <v>0</v>
      </c>
      <c r="I12" s="233"/>
      <c r="J12" s="652"/>
      <c r="K12" s="654">
        <f>N12</f>
        <v>20000</v>
      </c>
      <c r="L12" s="233"/>
      <c r="M12" s="652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2"/>
      <c r="H13" s="233">
        <v>2500</v>
      </c>
      <c r="I13" s="233"/>
      <c r="J13" s="652"/>
      <c r="K13" s="656">
        <f>N13</f>
        <v>2500</v>
      </c>
      <c r="L13" s="233"/>
      <c r="M13" s="652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2"/>
      <c r="H14" s="233">
        <v>5000</v>
      </c>
      <c r="I14" s="233"/>
      <c r="J14" s="652"/>
      <c r="K14" s="656">
        <f>N14</f>
        <v>5000</v>
      </c>
      <c r="L14" s="233"/>
      <c r="M14" s="652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2"/>
      <c r="H15" s="233">
        <v>14000</v>
      </c>
      <c r="I15" s="233"/>
      <c r="J15" s="652"/>
      <c r="K15" s="233">
        <v>1300</v>
      </c>
      <c r="L15" s="233"/>
      <c r="M15" s="652"/>
      <c r="N15" s="233">
        <v>900</v>
      </c>
    </row>
    <row r="16" spans="2:14" s="646" customFormat="1" x14ac:dyDescent="0.2">
      <c r="B16" s="63" t="s">
        <v>324</v>
      </c>
      <c r="C16" s="71" t="s">
        <v>317</v>
      </c>
      <c r="D16" s="71" t="s">
        <v>331</v>
      </c>
      <c r="E16" s="63" t="s">
        <v>2613</v>
      </c>
      <c r="F16" s="71" t="s">
        <v>1200</v>
      </c>
      <c r="G16" s="652"/>
      <c r="H16" s="233">
        <v>5000</v>
      </c>
      <c r="I16" s="233"/>
      <c r="J16" s="652"/>
      <c r="K16" s="656">
        <f>N16</f>
        <v>5000</v>
      </c>
      <c r="L16" s="233"/>
      <c r="M16" s="652"/>
      <c r="N16" s="233">
        <v>5000</v>
      </c>
    </row>
    <row r="17" spans="2:14" ht="13.15" customHeight="1" x14ac:dyDescent="0.2">
      <c r="B17" s="63"/>
      <c r="C17" s="771" t="s">
        <v>2655</v>
      </c>
      <c r="D17" s="71" t="s">
        <v>1197</v>
      </c>
      <c r="E17" s="63" t="s">
        <v>2638</v>
      </c>
      <c r="F17" s="63" t="s">
        <v>1200</v>
      </c>
      <c r="G17" s="652"/>
      <c r="H17" s="233">
        <f>N17</f>
        <v>90000</v>
      </c>
      <c r="I17" s="233"/>
      <c r="J17" s="652"/>
      <c r="K17" s="656">
        <f>N17</f>
        <v>90000</v>
      </c>
      <c r="L17" s="233"/>
      <c r="M17" s="652"/>
      <c r="N17" s="233">
        <v>90000</v>
      </c>
    </row>
    <row r="18" spans="2:14" x14ac:dyDescent="0.2">
      <c r="B18" s="63"/>
      <c r="C18" s="772"/>
      <c r="D18" s="63" t="s">
        <v>331</v>
      </c>
      <c r="E18" s="63" t="s">
        <v>2640</v>
      </c>
      <c r="F18" s="63" t="s">
        <v>1200</v>
      </c>
      <c r="G18" s="652"/>
      <c r="H18" s="233">
        <f>N18+169000</f>
        <v>439000</v>
      </c>
      <c r="I18" s="233"/>
      <c r="J18" s="652"/>
      <c r="K18" s="233">
        <f>N18+169000*40%</f>
        <v>337600</v>
      </c>
      <c r="L18" s="233"/>
      <c r="M18" s="652"/>
      <c r="N18" s="233">
        <v>270000</v>
      </c>
    </row>
    <row r="19" spans="2:14" x14ac:dyDescent="0.2">
      <c r="B19" s="63" t="s">
        <v>317</v>
      </c>
      <c r="C19" s="772"/>
      <c r="D19" s="63" t="s">
        <v>331</v>
      </c>
      <c r="E19" s="63" t="s">
        <v>2639</v>
      </c>
      <c r="F19" s="63" t="s">
        <v>329</v>
      </c>
      <c r="G19" s="652">
        <f>750000-418000</f>
        <v>332000</v>
      </c>
      <c r="H19" s="233"/>
      <c r="I19" s="233"/>
      <c r="J19" s="657">
        <f>M19</f>
        <v>600000</v>
      </c>
      <c r="K19" s="233"/>
      <c r="L19" s="233"/>
      <c r="M19" s="653">
        <v>600000</v>
      </c>
      <c r="N19" s="233"/>
    </row>
    <row r="20" spans="2:14" x14ac:dyDescent="0.2">
      <c r="B20" s="63" t="s">
        <v>317</v>
      </c>
      <c r="C20" s="772"/>
      <c r="D20" s="63" t="s">
        <v>331</v>
      </c>
      <c r="E20" s="63" t="s">
        <v>2637</v>
      </c>
      <c r="F20" s="63" t="s">
        <v>1200</v>
      </c>
      <c r="G20" s="652">
        <f>200000</f>
        <v>200000</v>
      </c>
      <c r="H20" s="233"/>
      <c r="I20" s="233"/>
      <c r="J20" s="657">
        <f>M20</f>
        <v>200000</v>
      </c>
      <c r="K20" s="233"/>
      <c r="L20" s="233"/>
      <c r="M20" s="653">
        <v>200000</v>
      </c>
      <c r="N20" s="233"/>
    </row>
    <row r="21" spans="2:14" x14ac:dyDescent="0.2">
      <c r="B21" s="63" t="s">
        <v>317</v>
      </c>
      <c r="C21" s="772"/>
      <c r="D21" s="71" t="s">
        <v>1054</v>
      </c>
      <c r="E21" s="63" t="s">
        <v>1202</v>
      </c>
      <c r="F21" s="63" t="s">
        <v>1201</v>
      </c>
      <c r="G21" s="653">
        <f>1000+15000+18000</f>
        <v>34000</v>
      </c>
      <c r="H21" s="233"/>
      <c r="I21" s="233"/>
      <c r="J21" s="653">
        <f>37303+14272+15932</f>
        <v>67507</v>
      </c>
      <c r="K21" s="233"/>
      <c r="L21" s="233"/>
      <c r="M21" s="653">
        <f>(35+13+14)*1000</f>
        <v>62000</v>
      </c>
      <c r="N21" s="233"/>
    </row>
    <row r="22" spans="2:14" x14ac:dyDescent="0.2">
      <c r="B22" s="63" t="s">
        <v>317</v>
      </c>
      <c r="C22" s="772"/>
      <c r="D22" s="71" t="s">
        <v>2633</v>
      </c>
      <c r="E22" s="63" t="s">
        <v>1052</v>
      </c>
      <c r="F22" s="63" t="s">
        <v>1200</v>
      </c>
      <c r="G22" s="652">
        <f>202000+64000</f>
        <v>266000</v>
      </c>
      <c r="H22" s="233"/>
      <c r="I22" s="233"/>
      <c r="J22" s="652">
        <f>57247+54415</f>
        <v>111662</v>
      </c>
      <c r="K22" s="233"/>
      <c r="L22" s="233"/>
      <c r="M22" s="652">
        <f>51797+50452</f>
        <v>102249</v>
      </c>
      <c r="N22" s="233"/>
    </row>
    <row r="23" spans="2:14" x14ac:dyDescent="0.2">
      <c r="B23" s="63" t="s">
        <v>317</v>
      </c>
      <c r="C23" s="772"/>
      <c r="D23" s="71" t="s">
        <v>2633</v>
      </c>
      <c r="E23" s="63" t="s">
        <v>2616</v>
      </c>
      <c r="F23" s="63" t="s">
        <v>1200</v>
      </c>
      <c r="G23" s="653">
        <f>(113000+20000)</f>
        <v>133000</v>
      </c>
      <c r="H23" s="233"/>
      <c r="I23" s="233"/>
      <c r="J23" s="653">
        <v>24201</v>
      </c>
      <c r="K23" s="233"/>
      <c r="L23" s="233"/>
      <c r="M23" s="653">
        <v>17000</v>
      </c>
      <c r="N23" s="233"/>
    </row>
    <row r="24" spans="2:14" x14ac:dyDescent="0.2">
      <c r="B24" s="63" t="s">
        <v>324</v>
      </c>
      <c r="C24" s="772"/>
      <c r="D24" s="63" t="s">
        <v>1199</v>
      </c>
      <c r="E24" s="63" t="s">
        <v>1198</v>
      </c>
      <c r="F24" s="63" t="s">
        <v>1201</v>
      </c>
      <c r="G24" s="652">
        <v>5000</v>
      </c>
      <c r="H24" s="233"/>
      <c r="I24" s="233"/>
      <c r="J24" s="652">
        <v>5000</v>
      </c>
      <c r="K24" s="233"/>
      <c r="L24" s="233"/>
      <c r="M24" s="652">
        <v>5000</v>
      </c>
      <c r="N24" s="233"/>
    </row>
    <row r="25" spans="2:14" s="650" customFormat="1" x14ac:dyDescent="0.2">
      <c r="B25" s="63" t="s">
        <v>2614</v>
      </c>
      <c r="C25" s="773"/>
      <c r="D25" s="71" t="s">
        <v>331</v>
      </c>
      <c r="E25" s="63" t="s">
        <v>2653</v>
      </c>
      <c r="F25" s="63" t="s">
        <v>329</v>
      </c>
      <c r="G25" s="653">
        <f>15000*3</f>
        <v>45000</v>
      </c>
      <c r="H25" s="233"/>
      <c r="I25" s="233"/>
      <c r="J25" s="655">
        <v>0</v>
      </c>
      <c r="K25" s="233"/>
      <c r="L25" s="233"/>
      <c r="M25" s="653">
        <v>0</v>
      </c>
      <c r="N25" s="233"/>
    </row>
    <row r="26" spans="2:14" x14ac:dyDescent="0.2">
      <c r="B26" s="63" t="s">
        <v>2614</v>
      </c>
      <c r="C26" s="71" t="s">
        <v>316</v>
      </c>
      <c r="D26" s="71" t="s">
        <v>331</v>
      </c>
      <c r="E26" s="63" t="s">
        <v>2641</v>
      </c>
      <c r="F26" s="63" t="s">
        <v>1200</v>
      </c>
      <c r="G26" s="653" t="s">
        <v>2615</v>
      </c>
      <c r="H26" s="233"/>
      <c r="I26" s="233"/>
      <c r="J26" s="657">
        <f>M26</f>
        <v>20000</v>
      </c>
      <c r="K26" s="233"/>
      <c r="L26" s="233"/>
      <c r="M26" s="653">
        <v>20000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2632</v>
      </c>
      <c r="F27" s="63" t="s">
        <v>1201</v>
      </c>
      <c r="G27" s="653">
        <v>1000</v>
      </c>
      <c r="H27" s="233" t="s">
        <v>2618</v>
      </c>
      <c r="I27" s="233"/>
      <c r="J27" s="653">
        <v>92574</v>
      </c>
      <c r="K27" s="233"/>
      <c r="L27" s="233"/>
      <c r="M27" s="653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2628</v>
      </c>
      <c r="F28" s="63" t="s">
        <v>1200</v>
      </c>
      <c r="G28" s="653">
        <v>40000</v>
      </c>
      <c r="H28" s="233"/>
      <c r="I28" s="233"/>
      <c r="J28" s="653">
        <v>27907</v>
      </c>
      <c r="K28" s="233"/>
      <c r="L28" s="233"/>
      <c r="M28" s="653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2635</v>
      </c>
      <c r="F29" s="63" t="s">
        <v>1200</v>
      </c>
      <c r="G29" s="653">
        <v>2000</v>
      </c>
      <c r="H29" s="233"/>
      <c r="I29" s="233"/>
      <c r="J29" s="653">
        <v>28176</v>
      </c>
      <c r="K29" s="233"/>
      <c r="L29" s="233"/>
      <c r="M29" s="653">
        <v>20000</v>
      </c>
      <c r="N29" s="233"/>
    </row>
    <row r="30" spans="2:14" s="646" customFormat="1" x14ac:dyDescent="0.2">
      <c r="B30" s="63" t="s">
        <v>317</v>
      </c>
      <c r="C30" s="71" t="s">
        <v>317</v>
      </c>
      <c r="D30" s="71" t="s">
        <v>1060</v>
      </c>
      <c r="E30" s="63" t="s">
        <v>2634</v>
      </c>
      <c r="F30" s="63" t="s">
        <v>1200</v>
      </c>
      <c r="G30" s="653">
        <f>176000</f>
        <v>176000</v>
      </c>
      <c r="H30" s="233"/>
      <c r="I30" s="233"/>
      <c r="J30" s="678">
        <v>0</v>
      </c>
      <c r="K30" s="233"/>
      <c r="L30" s="233"/>
      <c r="M30" s="653">
        <v>0</v>
      </c>
      <c r="N30" s="233"/>
    </row>
    <row r="31" spans="2:14" ht="25.5" x14ac:dyDescent="0.2">
      <c r="B31" s="63" t="s">
        <v>317</v>
      </c>
      <c r="C31" s="71" t="s">
        <v>317</v>
      </c>
      <c r="D31" s="71" t="s">
        <v>2683</v>
      </c>
      <c r="E31" s="677" t="s">
        <v>2687</v>
      </c>
      <c r="F31" s="186" t="s">
        <v>2684</v>
      </c>
      <c r="G31" s="653">
        <v>437000</v>
      </c>
      <c r="H31" s="233"/>
      <c r="I31" s="233"/>
      <c r="J31" s="653">
        <f>27564</f>
        <v>27564</v>
      </c>
      <c r="K31" s="233"/>
      <c r="L31" s="233"/>
      <c r="M31" s="653">
        <v>20000</v>
      </c>
      <c r="N31" s="233"/>
    </row>
    <row r="32" spans="2:14" x14ac:dyDescent="0.2">
      <c r="B32" s="63" t="s">
        <v>317</v>
      </c>
      <c r="C32" s="71"/>
      <c r="D32" s="71"/>
      <c r="E32" s="63" t="s">
        <v>2624</v>
      </c>
      <c r="F32" s="71" t="s">
        <v>2630</v>
      </c>
      <c r="G32" s="653" t="s">
        <v>2625</v>
      </c>
      <c r="H32" s="233"/>
      <c r="I32" s="233"/>
      <c r="J32" s="653">
        <v>-30000</v>
      </c>
      <c r="K32" s="233"/>
      <c r="L32" s="233"/>
      <c r="M32" s="653">
        <v>-40000</v>
      </c>
      <c r="N32" s="233"/>
    </row>
    <row r="33" spans="2:14" s="676" customFormat="1" x14ac:dyDescent="0.2">
      <c r="B33" s="63"/>
      <c r="C33" s="71"/>
      <c r="D33" s="71" t="s">
        <v>1053</v>
      </c>
      <c r="E33" s="677" t="s">
        <v>2688</v>
      </c>
      <c r="F33" s="186" t="s">
        <v>1200</v>
      </c>
      <c r="G33" s="653">
        <v>-1000</v>
      </c>
      <c r="H33" s="233"/>
      <c r="I33" s="233"/>
      <c r="J33" s="678">
        <v>0</v>
      </c>
      <c r="K33" s="233"/>
      <c r="L33" s="233"/>
      <c r="M33" s="653">
        <v>0</v>
      </c>
      <c r="N33" s="233"/>
    </row>
    <row r="34" spans="2:14" x14ac:dyDescent="0.2">
      <c r="B34" s="63" t="s">
        <v>317</v>
      </c>
      <c r="C34" s="71" t="s">
        <v>317</v>
      </c>
      <c r="D34" s="71" t="s">
        <v>1196</v>
      </c>
      <c r="E34" s="677" t="s">
        <v>1899</v>
      </c>
      <c r="F34" s="63" t="s">
        <v>1201</v>
      </c>
      <c r="G34" s="653">
        <v>7000</v>
      </c>
      <c r="H34" s="233"/>
      <c r="I34" s="233"/>
      <c r="J34" s="653">
        <v>20000</v>
      </c>
      <c r="K34" s="233"/>
      <c r="L34" s="233"/>
      <c r="M34" s="653">
        <v>0</v>
      </c>
      <c r="N34" s="233"/>
    </row>
    <row r="35" spans="2:14" s="676" customFormat="1" x14ac:dyDescent="0.2">
      <c r="B35" s="63"/>
      <c r="C35" s="71"/>
      <c r="D35" s="71"/>
      <c r="E35" s="63" t="s">
        <v>2685</v>
      </c>
      <c r="F35" s="71" t="s">
        <v>2630</v>
      </c>
      <c r="G35" s="653" t="s">
        <v>2686</v>
      </c>
      <c r="H35" s="233"/>
      <c r="I35" s="233"/>
      <c r="J35" s="653" t="s">
        <v>433</v>
      </c>
      <c r="K35" s="233"/>
      <c r="L35" s="233"/>
      <c r="M35" s="653" t="s">
        <v>433</v>
      </c>
      <c r="N35" s="233"/>
    </row>
    <row r="36" spans="2:14" x14ac:dyDescent="0.2">
      <c r="B36" s="63" t="s">
        <v>317</v>
      </c>
      <c r="C36" s="71" t="s">
        <v>317</v>
      </c>
      <c r="D36" s="71"/>
      <c r="E36" s="63" t="s">
        <v>2629</v>
      </c>
      <c r="F36" s="63" t="s">
        <v>1201</v>
      </c>
      <c r="G36" s="653" t="s">
        <v>332</v>
      </c>
      <c r="H36" s="233"/>
      <c r="I36" s="233"/>
      <c r="J36" s="653" t="s">
        <v>332</v>
      </c>
      <c r="K36" s="233"/>
      <c r="L36" s="233"/>
      <c r="M36" s="653" t="s">
        <v>332</v>
      </c>
      <c r="N36" s="233"/>
    </row>
    <row r="37" spans="2:14" x14ac:dyDescent="0.2">
      <c r="E37" s="212"/>
      <c r="F37" s="212" t="s">
        <v>2622</v>
      </c>
      <c r="G37" s="114">
        <f>SUM(G4:G36)</f>
        <v>1677000</v>
      </c>
      <c r="H37" s="649">
        <f>SUM(H4:H36)</f>
        <v>621000</v>
      </c>
      <c r="J37" s="114">
        <f>SUM(J4:J36)</f>
        <v>1194591</v>
      </c>
      <c r="K37" s="649">
        <f>SUM(K4:K36)</f>
        <v>498618</v>
      </c>
      <c r="M37" s="114">
        <f>SUM(M4:M36)</f>
        <v>1114249</v>
      </c>
      <c r="N37" s="649">
        <f>SUM(N4:N36)</f>
        <v>493000</v>
      </c>
    </row>
    <row r="38" spans="2:14" s="646" customFormat="1" x14ac:dyDescent="0.2">
      <c r="E38" s="212"/>
      <c r="F38" s="212" t="s">
        <v>2689</v>
      </c>
      <c r="G38" s="114">
        <v>1677000</v>
      </c>
      <c r="H38" s="649">
        <v>621000</v>
      </c>
      <c r="I38" s="2"/>
      <c r="J38" s="114">
        <v>1194591</v>
      </c>
      <c r="K38" s="649">
        <v>498618</v>
      </c>
      <c r="L38" s="2"/>
      <c r="M38" s="114">
        <v>1114249</v>
      </c>
      <c r="N38" s="649">
        <v>493000</v>
      </c>
    </row>
    <row r="39" spans="2:14" s="647" customFormat="1" x14ac:dyDescent="0.2">
      <c r="E39" s="651" t="s">
        <v>2650</v>
      </c>
      <c r="F39" s="207">
        <v>1.33</v>
      </c>
      <c r="G39" s="114"/>
      <c r="H39" s="114" t="s">
        <v>2617</v>
      </c>
      <c r="I39" s="2"/>
      <c r="J39" s="114"/>
      <c r="K39" s="649"/>
      <c r="L39" s="2"/>
    </row>
    <row r="40" spans="2:14" s="647" customFormat="1" x14ac:dyDescent="0.2">
      <c r="E40" s="212"/>
      <c r="F40" s="212" t="s">
        <v>2627</v>
      </c>
      <c r="G40" s="770">
        <f>G37/F39+H37</f>
        <v>1881902.2556390977</v>
      </c>
      <c r="H40" s="770"/>
      <c r="I40" s="2"/>
      <c r="J40" s="114"/>
      <c r="K40" s="2"/>
      <c r="L40" s="2"/>
      <c r="M40" s="114"/>
      <c r="N40" s="2"/>
    </row>
    <row r="41" spans="2:14" s="647" customFormat="1" x14ac:dyDescent="0.2">
      <c r="E41" s="212"/>
      <c r="F41" s="212" t="s">
        <v>2623</v>
      </c>
      <c r="G41" s="769">
        <f>H37*F39+G37</f>
        <v>2502930</v>
      </c>
      <c r="H41" s="769"/>
      <c r="I41" s="2"/>
      <c r="J41" s="769">
        <f>K37*1.37+J37</f>
        <v>1877697.6600000001</v>
      </c>
      <c r="K41" s="769"/>
      <c r="L41" s="2"/>
      <c r="M41" s="769">
        <f>N37*1.37+M37</f>
        <v>1789659</v>
      </c>
      <c r="N41" s="769"/>
    </row>
    <row r="42" spans="2:14" x14ac:dyDescent="0.2">
      <c r="I42" s="114"/>
      <c r="L42" s="114"/>
      <c r="N42" s="114"/>
    </row>
    <row r="43" spans="2:14" x14ac:dyDescent="0.2">
      <c r="H43" s="114"/>
      <c r="I43" s="114"/>
      <c r="K43" s="114"/>
      <c r="L43" s="114"/>
      <c r="N43" s="114"/>
    </row>
    <row r="44" spans="2:14" x14ac:dyDescent="0.2">
      <c r="B44" s="724" t="s">
        <v>1203</v>
      </c>
      <c r="C44" s="724"/>
      <c r="D44" s="724"/>
      <c r="E44" s="724"/>
      <c r="F44" s="724"/>
      <c r="G44" s="724"/>
      <c r="H44" s="724"/>
      <c r="I44" s="724"/>
      <c r="J44" s="724"/>
      <c r="K44" s="724"/>
      <c r="L44" s="724"/>
      <c r="M44" s="724"/>
      <c r="N44" s="724"/>
    </row>
    <row r="45" spans="2:14" x14ac:dyDescent="0.2">
      <c r="B45" s="724" t="s">
        <v>2621</v>
      </c>
      <c r="C45" s="724"/>
      <c r="D45" s="724"/>
      <c r="E45" s="724"/>
      <c r="F45" s="724"/>
      <c r="G45" s="724"/>
      <c r="H45" s="724"/>
      <c r="I45" s="724"/>
      <c r="J45" s="724"/>
      <c r="K45" s="724"/>
      <c r="L45" s="724"/>
      <c r="M45" s="724"/>
      <c r="N45" s="724"/>
    </row>
    <row r="46" spans="2:14" x14ac:dyDescent="0.2">
      <c r="B46" s="724" t="s">
        <v>2620</v>
      </c>
      <c r="C46" s="724"/>
      <c r="D46" s="724"/>
      <c r="E46" s="724"/>
      <c r="F46" s="724"/>
      <c r="G46" s="724"/>
      <c r="H46" s="724"/>
      <c r="I46" s="724"/>
      <c r="J46" s="724"/>
      <c r="K46" s="724"/>
      <c r="L46" s="724"/>
      <c r="M46" s="724"/>
      <c r="N46" s="724"/>
    </row>
    <row r="47" spans="2:14" x14ac:dyDescent="0.2">
      <c r="B47" s="766" t="s">
        <v>2619</v>
      </c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</row>
    <row r="48" spans="2:14" x14ac:dyDescent="0.2">
      <c r="B48" s="766"/>
      <c r="C48" s="766"/>
      <c r="D48" s="766"/>
      <c r="E48" s="766"/>
      <c r="F48" s="766"/>
      <c r="G48" s="766"/>
      <c r="H48" s="766"/>
      <c r="I48" s="766"/>
      <c r="J48" s="766"/>
      <c r="K48" s="766"/>
      <c r="L48" s="766"/>
      <c r="M48" s="766"/>
      <c r="N48" s="766"/>
    </row>
    <row r="49" spans="2:14" x14ac:dyDescent="0.2">
      <c r="B49" s="766"/>
      <c r="C49" s="766"/>
      <c r="D49" s="766"/>
      <c r="E49" s="766"/>
      <c r="F49" s="766"/>
      <c r="G49" s="766"/>
      <c r="H49" s="766"/>
      <c r="I49" s="766"/>
      <c r="J49" s="766"/>
      <c r="K49" s="766"/>
      <c r="L49" s="766"/>
      <c r="M49" s="766"/>
      <c r="N49" s="766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76" t="s">
        <v>2097</v>
      </c>
      <c r="C2" s="776"/>
      <c r="D2" s="777" t="s">
        <v>1892</v>
      </c>
      <c r="E2" s="777"/>
      <c r="F2" s="515"/>
      <c r="G2" s="515"/>
      <c r="H2" s="388"/>
      <c r="I2" s="780" t="s">
        <v>2288</v>
      </c>
      <c r="J2" s="781"/>
      <c r="K2" s="781"/>
      <c r="L2" s="781"/>
      <c r="M2" s="781"/>
      <c r="N2" s="781"/>
      <c r="O2" s="782"/>
      <c r="P2" s="469"/>
      <c r="Q2" s="783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88" t="s">
        <v>2319</v>
      </c>
      <c r="G3" s="789"/>
      <c r="H3" s="388"/>
      <c r="I3" s="452"/>
      <c r="J3" s="516"/>
      <c r="K3" s="785" t="s">
        <v>2462</v>
      </c>
      <c r="L3" s="786"/>
      <c r="M3" s="787"/>
      <c r="N3" s="521"/>
      <c r="O3" s="449"/>
      <c r="P3" s="513"/>
      <c r="Q3" s="784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8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8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9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9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74" t="s">
        <v>1559</v>
      </c>
      <c r="E27" s="775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708" t="s">
        <v>124</v>
      </c>
      <c r="C1" s="708"/>
      <c r="D1" s="712" t="s">
        <v>292</v>
      </c>
      <c r="E1" s="712"/>
      <c r="F1" s="712" t="s">
        <v>345</v>
      </c>
      <c r="G1" s="712"/>
      <c r="H1" s="709" t="s">
        <v>127</v>
      </c>
      <c r="I1" s="709"/>
      <c r="J1" s="710" t="s">
        <v>292</v>
      </c>
      <c r="K1" s="710"/>
      <c r="L1" s="711" t="s">
        <v>528</v>
      </c>
      <c r="M1" s="711"/>
      <c r="N1" s="709" t="s">
        <v>146</v>
      </c>
      <c r="O1" s="709"/>
      <c r="P1" s="710" t="s">
        <v>293</v>
      </c>
      <c r="Q1" s="710"/>
      <c r="R1" s="711" t="s">
        <v>530</v>
      </c>
      <c r="S1" s="711"/>
      <c r="T1" s="697" t="s">
        <v>193</v>
      </c>
      <c r="U1" s="697"/>
      <c r="V1" s="710" t="s">
        <v>292</v>
      </c>
      <c r="W1" s="710"/>
      <c r="X1" s="699" t="s">
        <v>532</v>
      </c>
      <c r="Y1" s="699"/>
      <c r="Z1" s="697" t="s">
        <v>241</v>
      </c>
      <c r="AA1" s="697"/>
      <c r="AB1" s="698" t="s">
        <v>292</v>
      </c>
      <c r="AC1" s="698"/>
      <c r="AD1" s="707" t="s">
        <v>532</v>
      </c>
      <c r="AE1" s="707"/>
      <c r="AF1" s="697" t="s">
        <v>373</v>
      </c>
      <c r="AG1" s="697"/>
      <c r="AH1" s="698" t="s">
        <v>292</v>
      </c>
      <c r="AI1" s="698"/>
      <c r="AJ1" s="699" t="s">
        <v>538</v>
      </c>
      <c r="AK1" s="699"/>
      <c r="AL1" s="697" t="s">
        <v>395</v>
      </c>
      <c r="AM1" s="697"/>
      <c r="AN1" s="705" t="s">
        <v>292</v>
      </c>
      <c r="AO1" s="705"/>
      <c r="AP1" s="703" t="s">
        <v>539</v>
      </c>
      <c r="AQ1" s="703"/>
      <c r="AR1" s="697" t="s">
        <v>422</v>
      </c>
      <c r="AS1" s="697"/>
      <c r="AV1" s="703" t="s">
        <v>285</v>
      </c>
      <c r="AW1" s="703"/>
      <c r="AX1" s="706" t="s">
        <v>1010</v>
      </c>
      <c r="AY1" s="706"/>
      <c r="AZ1" s="706"/>
      <c r="BA1" s="213"/>
      <c r="BB1" s="701">
        <v>42942</v>
      </c>
      <c r="BC1" s="702"/>
      <c r="BD1" s="70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0" t="s">
        <v>261</v>
      </c>
      <c r="U4" s="700"/>
      <c r="X4" s="122" t="s">
        <v>233</v>
      </c>
      <c r="Y4" s="126">
        <f>Y3-Y6</f>
        <v>4.9669099999591708</v>
      </c>
      <c r="Z4" s="700" t="s">
        <v>262</v>
      </c>
      <c r="AA4" s="700"/>
      <c r="AD4" s="157" t="s">
        <v>233</v>
      </c>
      <c r="AE4" s="157">
        <f>AE3-AE5</f>
        <v>-52.526899999851594</v>
      </c>
      <c r="AF4" s="700" t="s">
        <v>262</v>
      </c>
      <c r="AG4" s="700"/>
      <c r="AH4" s="146"/>
      <c r="AI4" s="146"/>
      <c r="AJ4" s="157" t="s">
        <v>233</v>
      </c>
      <c r="AK4" s="157">
        <f>AK3-AK5</f>
        <v>94.988909999992757</v>
      </c>
      <c r="AL4" s="700" t="s">
        <v>262</v>
      </c>
      <c r="AM4" s="700"/>
      <c r="AP4" s="173" t="s">
        <v>233</v>
      </c>
      <c r="AQ4" s="177">
        <f>AQ3-AQ5</f>
        <v>33.841989999942598</v>
      </c>
      <c r="AR4" s="700" t="s">
        <v>262</v>
      </c>
      <c r="AS4" s="700"/>
      <c r="AX4" s="700" t="s">
        <v>572</v>
      </c>
      <c r="AY4" s="700"/>
      <c r="BB4" s="700" t="s">
        <v>575</v>
      </c>
      <c r="BC4" s="70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700"/>
      <c r="U5" s="700"/>
      <c r="V5" s="3" t="s">
        <v>258</v>
      </c>
      <c r="W5">
        <v>2050</v>
      </c>
      <c r="X5" s="82"/>
      <c r="Z5" s="700"/>
      <c r="AA5" s="70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00"/>
      <c r="AG5" s="700"/>
      <c r="AH5" s="146"/>
      <c r="AI5" s="146"/>
      <c r="AJ5" s="157" t="s">
        <v>358</v>
      </c>
      <c r="AK5" s="165">
        <f>SUM(AK11:AK59)</f>
        <v>30858.011000000002</v>
      </c>
      <c r="AL5" s="700"/>
      <c r="AM5" s="70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00"/>
      <c r="AS5" s="700"/>
      <c r="AX5" s="700"/>
      <c r="AY5" s="700"/>
      <c r="BB5" s="700"/>
      <c r="BC5" s="700"/>
      <c r="BD5" s="704" t="s">
        <v>1011</v>
      </c>
      <c r="BE5" s="704"/>
      <c r="BF5" s="704"/>
      <c r="BG5" s="704"/>
      <c r="BH5" s="704"/>
      <c r="BI5" s="704"/>
      <c r="BJ5" s="704"/>
      <c r="BK5" s="70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13" t="s">
        <v>264</v>
      </c>
      <c r="W23" s="71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15"/>
      <c r="W24" s="71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17" t="s">
        <v>1001</v>
      </c>
      <c r="C24" s="717"/>
      <c r="D24" s="717"/>
      <c r="E24" s="717"/>
      <c r="F24" s="717"/>
      <c r="G24" s="717"/>
      <c r="H24" s="717"/>
      <c r="I24" s="71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08" t="s">
        <v>917</v>
      </c>
      <c r="C1" s="708"/>
      <c r="D1" s="707" t="s">
        <v>523</v>
      </c>
      <c r="E1" s="707"/>
      <c r="F1" s="708" t="s">
        <v>521</v>
      </c>
      <c r="G1" s="708"/>
      <c r="H1" s="718" t="s">
        <v>557</v>
      </c>
      <c r="I1" s="718"/>
      <c r="J1" s="707" t="s">
        <v>523</v>
      </c>
      <c r="K1" s="707"/>
      <c r="L1" s="708" t="s">
        <v>916</v>
      </c>
      <c r="M1" s="708"/>
      <c r="N1" s="718" t="s">
        <v>557</v>
      </c>
      <c r="O1" s="718"/>
      <c r="P1" s="707" t="s">
        <v>523</v>
      </c>
      <c r="Q1" s="707"/>
      <c r="R1" s="708" t="s">
        <v>560</v>
      </c>
      <c r="S1" s="708"/>
      <c r="T1" s="718" t="s">
        <v>557</v>
      </c>
      <c r="U1" s="718"/>
      <c r="V1" s="707" t="s">
        <v>523</v>
      </c>
      <c r="W1" s="707"/>
      <c r="X1" s="708" t="s">
        <v>915</v>
      </c>
      <c r="Y1" s="708"/>
      <c r="Z1" s="718" t="s">
        <v>557</v>
      </c>
      <c r="AA1" s="718"/>
      <c r="AB1" s="707" t="s">
        <v>523</v>
      </c>
      <c r="AC1" s="707"/>
      <c r="AD1" s="708" t="s">
        <v>599</v>
      </c>
      <c r="AE1" s="708"/>
      <c r="AF1" s="718" t="s">
        <v>557</v>
      </c>
      <c r="AG1" s="718"/>
      <c r="AH1" s="707" t="s">
        <v>523</v>
      </c>
      <c r="AI1" s="707"/>
      <c r="AJ1" s="708" t="s">
        <v>914</v>
      </c>
      <c r="AK1" s="708"/>
      <c r="AL1" s="718" t="s">
        <v>634</v>
      </c>
      <c r="AM1" s="718"/>
      <c r="AN1" s="707" t="s">
        <v>635</v>
      </c>
      <c r="AO1" s="707"/>
      <c r="AP1" s="708" t="s">
        <v>629</v>
      </c>
      <c r="AQ1" s="708"/>
      <c r="AR1" s="718" t="s">
        <v>557</v>
      </c>
      <c r="AS1" s="718"/>
      <c r="AT1" s="707" t="s">
        <v>523</v>
      </c>
      <c r="AU1" s="707"/>
      <c r="AV1" s="708" t="s">
        <v>913</v>
      </c>
      <c r="AW1" s="708"/>
      <c r="AX1" s="718" t="s">
        <v>557</v>
      </c>
      <c r="AY1" s="718"/>
      <c r="AZ1" s="707" t="s">
        <v>523</v>
      </c>
      <c r="BA1" s="707"/>
      <c r="BB1" s="708" t="s">
        <v>661</v>
      </c>
      <c r="BC1" s="708"/>
      <c r="BD1" s="718" t="s">
        <v>557</v>
      </c>
      <c r="BE1" s="718"/>
      <c r="BF1" s="707" t="s">
        <v>523</v>
      </c>
      <c r="BG1" s="707"/>
      <c r="BH1" s="708" t="s">
        <v>912</v>
      </c>
      <c r="BI1" s="708"/>
      <c r="BJ1" s="718" t="s">
        <v>557</v>
      </c>
      <c r="BK1" s="718"/>
      <c r="BL1" s="707" t="s">
        <v>523</v>
      </c>
      <c r="BM1" s="707"/>
      <c r="BN1" s="708" t="s">
        <v>931</v>
      </c>
      <c r="BO1" s="708"/>
      <c r="BP1" s="718" t="s">
        <v>557</v>
      </c>
      <c r="BQ1" s="718"/>
      <c r="BR1" s="707" t="s">
        <v>523</v>
      </c>
      <c r="BS1" s="707"/>
      <c r="BT1" s="708" t="s">
        <v>911</v>
      </c>
      <c r="BU1" s="708"/>
      <c r="BV1" s="718" t="s">
        <v>712</v>
      </c>
      <c r="BW1" s="718"/>
      <c r="BX1" s="707" t="s">
        <v>713</v>
      </c>
      <c r="BY1" s="707"/>
      <c r="BZ1" s="708" t="s">
        <v>711</v>
      </c>
      <c r="CA1" s="708"/>
      <c r="CB1" s="718" t="s">
        <v>738</v>
      </c>
      <c r="CC1" s="718"/>
      <c r="CD1" s="707" t="s">
        <v>739</v>
      </c>
      <c r="CE1" s="707"/>
      <c r="CF1" s="708" t="s">
        <v>910</v>
      </c>
      <c r="CG1" s="708"/>
      <c r="CH1" s="718" t="s">
        <v>738</v>
      </c>
      <c r="CI1" s="718"/>
      <c r="CJ1" s="707" t="s">
        <v>739</v>
      </c>
      <c r="CK1" s="707"/>
      <c r="CL1" s="708" t="s">
        <v>756</v>
      </c>
      <c r="CM1" s="708"/>
      <c r="CN1" s="718" t="s">
        <v>738</v>
      </c>
      <c r="CO1" s="718"/>
      <c r="CP1" s="707" t="s">
        <v>739</v>
      </c>
      <c r="CQ1" s="707"/>
      <c r="CR1" s="708" t="s">
        <v>909</v>
      </c>
      <c r="CS1" s="708"/>
      <c r="CT1" s="718" t="s">
        <v>738</v>
      </c>
      <c r="CU1" s="718"/>
      <c r="CV1" s="722" t="s">
        <v>739</v>
      </c>
      <c r="CW1" s="722"/>
      <c r="CX1" s="708" t="s">
        <v>777</v>
      </c>
      <c r="CY1" s="708"/>
      <c r="CZ1" s="718" t="s">
        <v>738</v>
      </c>
      <c r="DA1" s="718"/>
      <c r="DB1" s="722" t="s">
        <v>739</v>
      </c>
      <c r="DC1" s="722"/>
      <c r="DD1" s="708" t="s">
        <v>908</v>
      </c>
      <c r="DE1" s="708"/>
      <c r="DF1" s="718" t="s">
        <v>824</v>
      </c>
      <c r="DG1" s="718"/>
      <c r="DH1" s="722" t="s">
        <v>825</v>
      </c>
      <c r="DI1" s="722"/>
      <c r="DJ1" s="708" t="s">
        <v>817</v>
      </c>
      <c r="DK1" s="708"/>
      <c r="DL1" s="718" t="s">
        <v>824</v>
      </c>
      <c r="DM1" s="718"/>
      <c r="DN1" s="722" t="s">
        <v>739</v>
      </c>
      <c r="DO1" s="722"/>
      <c r="DP1" s="708" t="s">
        <v>907</v>
      </c>
      <c r="DQ1" s="708"/>
      <c r="DR1" s="718" t="s">
        <v>824</v>
      </c>
      <c r="DS1" s="718"/>
      <c r="DT1" s="722" t="s">
        <v>739</v>
      </c>
      <c r="DU1" s="722"/>
      <c r="DV1" s="708" t="s">
        <v>906</v>
      </c>
      <c r="DW1" s="708"/>
      <c r="DX1" s="718" t="s">
        <v>824</v>
      </c>
      <c r="DY1" s="718"/>
      <c r="DZ1" s="722" t="s">
        <v>739</v>
      </c>
      <c r="EA1" s="722"/>
      <c r="EB1" s="708" t="s">
        <v>905</v>
      </c>
      <c r="EC1" s="708"/>
      <c r="ED1" s="718" t="s">
        <v>824</v>
      </c>
      <c r="EE1" s="718"/>
      <c r="EF1" s="722" t="s">
        <v>739</v>
      </c>
      <c r="EG1" s="722"/>
      <c r="EH1" s="708" t="s">
        <v>891</v>
      </c>
      <c r="EI1" s="708"/>
      <c r="EJ1" s="718" t="s">
        <v>824</v>
      </c>
      <c r="EK1" s="718"/>
      <c r="EL1" s="722" t="s">
        <v>946</v>
      </c>
      <c r="EM1" s="722"/>
      <c r="EN1" s="708" t="s">
        <v>932</v>
      </c>
      <c r="EO1" s="708"/>
      <c r="EP1" s="718" t="s">
        <v>824</v>
      </c>
      <c r="EQ1" s="718"/>
      <c r="ER1" s="722" t="s">
        <v>960</v>
      </c>
      <c r="ES1" s="722"/>
      <c r="ET1" s="708" t="s">
        <v>947</v>
      </c>
      <c r="EU1" s="708"/>
      <c r="EV1" s="718" t="s">
        <v>824</v>
      </c>
      <c r="EW1" s="718"/>
      <c r="EX1" s="722" t="s">
        <v>538</v>
      </c>
      <c r="EY1" s="722"/>
      <c r="EZ1" s="708" t="s">
        <v>964</v>
      </c>
      <c r="FA1" s="708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21" t="s">
        <v>787</v>
      </c>
      <c r="CU7" s="708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21" t="s">
        <v>786</v>
      </c>
      <c r="DA8" s="708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21" t="s">
        <v>786</v>
      </c>
      <c r="DG8" s="708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21" t="s">
        <v>786</v>
      </c>
      <c r="DM8" s="708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21" t="s">
        <v>786</v>
      </c>
      <c r="DS8" s="708"/>
      <c r="DT8" s="145" t="s">
        <v>791</v>
      </c>
      <c r="DU8" s="145">
        <f>SUM(DU13:DU17)</f>
        <v>32</v>
      </c>
      <c r="DV8" s="63"/>
      <c r="DW8" s="63"/>
      <c r="DX8" s="721" t="s">
        <v>786</v>
      </c>
      <c r="DY8" s="708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21" t="s">
        <v>938</v>
      </c>
      <c r="EK8" s="708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21" t="s">
        <v>938</v>
      </c>
      <c r="EQ9" s="708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21" t="s">
        <v>938</v>
      </c>
      <c r="EW9" s="708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21" t="s">
        <v>938</v>
      </c>
      <c r="EE11" s="708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21" t="s">
        <v>786</v>
      </c>
      <c r="CU12" s="708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7" t="s">
        <v>790</v>
      </c>
      <c r="CU19" s="69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24" t="s">
        <v>866</v>
      </c>
      <c r="FA21" s="724"/>
      <c r="FC21" s="244">
        <f>FC20-FC22</f>
        <v>113457.16899999997</v>
      </c>
      <c r="FD21" s="236"/>
      <c r="FE21" s="723" t="s">
        <v>1563</v>
      </c>
      <c r="FF21" s="723"/>
      <c r="FG21" s="723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24" t="s">
        <v>879</v>
      </c>
      <c r="FA22" s="724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24" t="s">
        <v>1012</v>
      </c>
      <c r="FA23" s="724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24" t="s">
        <v>1092</v>
      </c>
      <c r="FA24" s="724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19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2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19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20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IY1" zoomScaleNormal="100" workbookViewId="0">
      <selection activeCell="JF13" sqref="JF1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6" customWidth="1"/>
    <col min="255" max="255" width="9.140625" style="626" bestFit="1" customWidth="1"/>
    <col min="256" max="256" width="15.85546875" style="626" customWidth="1"/>
    <col min="257" max="257" width="11.85546875" style="626" bestFit="1" customWidth="1"/>
    <col min="258" max="258" width="18.28515625" style="626" customWidth="1"/>
    <col min="259" max="259" width="10.28515625" style="626" customWidth="1"/>
    <col min="260" max="260" width="14.5703125" style="684" customWidth="1"/>
    <col min="261" max="261" width="9.140625" style="684" bestFit="1" customWidth="1"/>
    <col min="262" max="262" width="15.85546875" style="684" customWidth="1"/>
    <col min="263" max="263" width="11.85546875" style="684" bestFit="1" customWidth="1"/>
    <col min="264" max="264" width="18.28515625" style="684" customWidth="1"/>
    <col min="265" max="265" width="12.42578125" style="684" customWidth="1"/>
    <col min="266" max="266" width="7.140625" style="684" customWidth="1"/>
    <col min="267" max="267" width="6.140625" customWidth="1"/>
  </cols>
  <sheetData>
    <row r="1" spans="1:267" s="145" customFormat="1" x14ac:dyDescent="0.2">
      <c r="A1" s="730" t="s">
        <v>1226</v>
      </c>
      <c r="B1" s="730"/>
      <c r="C1" s="705" t="s">
        <v>292</v>
      </c>
      <c r="D1" s="705"/>
      <c r="E1" s="703" t="s">
        <v>1022</v>
      </c>
      <c r="F1" s="703"/>
      <c r="G1" s="730" t="s">
        <v>1227</v>
      </c>
      <c r="H1" s="730"/>
      <c r="I1" s="705" t="s">
        <v>292</v>
      </c>
      <c r="J1" s="705"/>
      <c r="K1" s="703" t="s">
        <v>1023</v>
      </c>
      <c r="L1" s="703"/>
      <c r="M1" s="730" t="s">
        <v>1228</v>
      </c>
      <c r="N1" s="730"/>
      <c r="O1" s="705" t="s">
        <v>292</v>
      </c>
      <c r="P1" s="705"/>
      <c r="Q1" s="703" t="s">
        <v>1073</v>
      </c>
      <c r="R1" s="703"/>
      <c r="S1" s="730" t="s">
        <v>1229</v>
      </c>
      <c r="T1" s="730"/>
      <c r="U1" s="705" t="s">
        <v>292</v>
      </c>
      <c r="V1" s="705"/>
      <c r="W1" s="703" t="s">
        <v>635</v>
      </c>
      <c r="X1" s="703"/>
      <c r="Y1" s="730" t="s">
        <v>1230</v>
      </c>
      <c r="Z1" s="730"/>
      <c r="AA1" s="705" t="s">
        <v>292</v>
      </c>
      <c r="AB1" s="705"/>
      <c r="AC1" s="703" t="s">
        <v>1100</v>
      </c>
      <c r="AD1" s="703"/>
      <c r="AE1" s="730" t="s">
        <v>1231</v>
      </c>
      <c r="AF1" s="730"/>
      <c r="AG1" s="705" t="s">
        <v>292</v>
      </c>
      <c r="AH1" s="705"/>
      <c r="AI1" s="703" t="s">
        <v>1150</v>
      </c>
      <c r="AJ1" s="703"/>
      <c r="AK1" s="730" t="s">
        <v>1234</v>
      </c>
      <c r="AL1" s="730"/>
      <c r="AM1" s="705" t="s">
        <v>1148</v>
      </c>
      <c r="AN1" s="705"/>
      <c r="AO1" s="703" t="s">
        <v>1149</v>
      </c>
      <c r="AP1" s="703"/>
      <c r="AQ1" s="730" t="s">
        <v>1235</v>
      </c>
      <c r="AR1" s="730"/>
      <c r="AS1" s="705" t="s">
        <v>1148</v>
      </c>
      <c r="AT1" s="705"/>
      <c r="AU1" s="703" t="s">
        <v>1194</v>
      </c>
      <c r="AV1" s="703"/>
      <c r="AW1" s="730" t="s">
        <v>1232</v>
      </c>
      <c r="AX1" s="730"/>
      <c r="AY1" s="703" t="s">
        <v>1258</v>
      </c>
      <c r="AZ1" s="703"/>
      <c r="BA1" s="730" t="s">
        <v>1232</v>
      </c>
      <c r="BB1" s="730"/>
      <c r="BC1" s="705" t="s">
        <v>824</v>
      </c>
      <c r="BD1" s="705"/>
      <c r="BE1" s="703" t="s">
        <v>1225</v>
      </c>
      <c r="BF1" s="703"/>
      <c r="BG1" s="730" t="s">
        <v>1233</v>
      </c>
      <c r="BH1" s="730"/>
      <c r="BI1" s="705" t="s">
        <v>824</v>
      </c>
      <c r="BJ1" s="705"/>
      <c r="BK1" s="703" t="s">
        <v>1225</v>
      </c>
      <c r="BL1" s="703"/>
      <c r="BM1" s="730" t="s">
        <v>1243</v>
      </c>
      <c r="BN1" s="730"/>
      <c r="BO1" s="705" t="s">
        <v>824</v>
      </c>
      <c r="BP1" s="705"/>
      <c r="BQ1" s="703" t="s">
        <v>1261</v>
      </c>
      <c r="BR1" s="703"/>
      <c r="BS1" s="730" t="s">
        <v>1260</v>
      </c>
      <c r="BT1" s="730"/>
      <c r="BU1" s="705" t="s">
        <v>824</v>
      </c>
      <c r="BV1" s="705"/>
      <c r="BW1" s="703" t="s">
        <v>1265</v>
      </c>
      <c r="BX1" s="703"/>
      <c r="BY1" s="730" t="s">
        <v>1287</v>
      </c>
      <c r="BZ1" s="730"/>
      <c r="CA1" s="705" t="s">
        <v>824</v>
      </c>
      <c r="CB1" s="705"/>
      <c r="CC1" s="703" t="s">
        <v>1261</v>
      </c>
      <c r="CD1" s="703"/>
      <c r="CE1" s="730" t="s">
        <v>1308</v>
      </c>
      <c r="CF1" s="730"/>
      <c r="CG1" s="705" t="s">
        <v>824</v>
      </c>
      <c r="CH1" s="705"/>
      <c r="CI1" s="703" t="s">
        <v>1265</v>
      </c>
      <c r="CJ1" s="703"/>
      <c r="CK1" s="730" t="s">
        <v>1324</v>
      </c>
      <c r="CL1" s="730"/>
      <c r="CM1" s="705" t="s">
        <v>824</v>
      </c>
      <c r="CN1" s="705"/>
      <c r="CO1" s="703" t="s">
        <v>1261</v>
      </c>
      <c r="CP1" s="703"/>
      <c r="CQ1" s="730" t="s">
        <v>1352</v>
      </c>
      <c r="CR1" s="730"/>
      <c r="CS1" s="726" t="s">
        <v>824</v>
      </c>
      <c r="CT1" s="726"/>
      <c r="CU1" s="703" t="s">
        <v>1408</v>
      </c>
      <c r="CV1" s="703"/>
      <c r="CW1" s="730" t="s">
        <v>1391</v>
      </c>
      <c r="CX1" s="730"/>
      <c r="CY1" s="726" t="s">
        <v>824</v>
      </c>
      <c r="CZ1" s="726"/>
      <c r="DA1" s="703" t="s">
        <v>1614</v>
      </c>
      <c r="DB1" s="703"/>
      <c r="DC1" s="730" t="s">
        <v>1411</v>
      </c>
      <c r="DD1" s="730"/>
      <c r="DE1" s="726" t="s">
        <v>824</v>
      </c>
      <c r="DF1" s="726"/>
      <c r="DG1" s="703" t="s">
        <v>1508</v>
      </c>
      <c r="DH1" s="703"/>
      <c r="DI1" s="730" t="s">
        <v>1611</v>
      </c>
      <c r="DJ1" s="730"/>
      <c r="DK1" s="726" t="s">
        <v>824</v>
      </c>
      <c r="DL1" s="726"/>
      <c r="DM1" s="703" t="s">
        <v>1408</v>
      </c>
      <c r="DN1" s="703"/>
      <c r="DO1" s="730" t="s">
        <v>1612</v>
      </c>
      <c r="DP1" s="730"/>
      <c r="DQ1" s="726" t="s">
        <v>824</v>
      </c>
      <c r="DR1" s="726"/>
      <c r="DS1" s="703" t="s">
        <v>1607</v>
      </c>
      <c r="DT1" s="703"/>
      <c r="DU1" s="730" t="s">
        <v>1613</v>
      </c>
      <c r="DV1" s="730"/>
      <c r="DW1" s="726" t="s">
        <v>824</v>
      </c>
      <c r="DX1" s="726"/>
      <c r="DY1" s="703" t="s">
        <v>1633</v>
      </c>
      <c r="DZ1" s="703"/>
      <c r="EA1" s="725" t="s">
        <v>1628</v>
      </c>
      <c r="EB1" s="725"/>
      <c r="EC1" s="726" t="s">
        <v>824</v>
      </c>
      <c r="ED1" s="726"/>
      <c r="EE1" s="703" t="s">
        <v>1607</v>
      </c>
      <c r="EF1" s="703"/>
      <c r="EG1" s="368"/>
      <c r="EH1" s="725" t="s">
        <v>1658</v>
      </c>
      <c r="EI1" s="725"/>
      <c r="EJ1" s="726" t="s">
        <v>824</v>
      </c>
      <c r="EK1" s="726"/>
      <c r="EL1" s="703" t="s">
        <v>1692</v>
      </c>
      <c r="EM1" s="703"/>
      <c r="EN1" s="725" t="s">
        <v>1683</v>
      </c>
      <c r="EO1" s="725"/>
      <c r="EP1" s="726" t="s">
        <v>824</v>
      </c>
      <c r="EQ1" s="726"/>
      <c r="ER1" s="703" t="s">
        <v>1732</v>
      </c>
      <c r="ES1" s="703"/>
      <c r="ET1" s="725" t="s">
        <v>1725</v>
      </c>
      <c r="EU1" s="725"/>
      <c r="EV1" s="726" t="s">
        <v>824</v>
      </c>
      <c r="EW1" s="726"/>
      <c r="EX1" s="703" t="s">
        <v>1633</v>
      </c>
      <c r="EY1" s="703"/>
      <c r="EZ1" s="725" t="s">
        <v>1760</v>
      </c>
      <c r="FA1" s="725"/>
      <c r="FB1" s="726" t="s">
        <v>824</v>
      </c>
      <c r="FC1" s="726"/>
      <c r="FD1" s="703" t="s">
        <v>1614</v>
      </c>
      <c r="FE1" s="703"/>
      <c r="FF1" s="725" t="s">
        <v>1799</v>
      </c>
      <c r="FG1" s="725"/>
      <c r="FH1" s="726" t="s">
        <v>824</v>
      </c>
      <c r="FI1" s="726"/>
      <c r="FJ1" s="703" t="s">
        <v>1408</v>
      </c>
      <c r="FK1" s="703"/>
      <c r="FL1" s="725" t="s">
        <v>1834</v>
      </c>
      <c r="FM1" s="725"/>
      <c r="FN1" s="726" t="s">
        <v>824</v>
      </c>
      <c r="FO1" s="726"/>
      <c r="FP1" s="703" t="s">
        <v>1881</v>
      </c>
      <c r="FQ1" s="703"/>
      <c r="FR1" s="725" t="s">
        <v>1870</v>
      </c>
      <c r="FS1" s="725"/>
      <c r="FT1" s="726" t="s">
        <v>824</v>
      </c>
      <c r="FU1" s="726"/>
      <c r="FV1" s="703" t="s">
        <v>1881</v>
      </c>
      <c r="FW1" s="703"/>
      <c r="FX1" s="725" t="s">
        <v>2014</v>
      </c>
      <c r="FY1" s="725"/>
      <c r="FZ1" s="726" t="s">
        <v>824</v>
      </c>
      <c r="GA1" s="726"/>
      <c r="GB1" s="703" t="s">
        <v>1633</v>
      </c>
      <c r="GC1" s="703"/>
      <c r="GD1" s="725" t="s">
        <v>2015</v>
      </c>
      <c r="GE1" s="725"/>
      <c r="GF1" s="726" t="s">
        <v>824</v>
      </c>
      <c r="GG1" s="726"/>
      <c r="GH1" s="703" t="s">
        <v>1607</v>
      </c>
      <c r="GI1" s="703"/>
      <c r="GJ1" s="725" t="s">
        <v>2024</v>
      </c>
      <c r="GK1" s="725"/>
      <c r="GL1" s="726" t="s">
        <v>824</v>
      </c>
      <c r="GM1" s="726"/>
      <c r="GN1" s="703" t="s">
        <v>1607</v>
      </c>
      <c r="GO1" s="703"/>
      <c r="GP1" s="725" t="s">
        <v>2066</v>
      </c>
      <c r="GQ1" s="725"/>
      <c r="GR1" s="726" t="s">
        <v>824</v>
      </c>
      <c r="GS1" s="726"/>
      <c r="GT1" s="703" t="s">
        <v>1692</v>
      </c>
      <c r="GU1" s="703"/>
      <c r="GV1" s="725" t="s">
        <v>2100</v>
      </c>
      <c r="GW1" s="725"/>
      <c r="GX1" s="726" t="s">
        <v>824</v>
      </c>
      <c r="GY1" s="726"/>
      <c r="GZ1" s="703" t="s">
        <v>2139</v>
      </c>
      <c r="HA1" s="703"/>
      <c r="HB1" s="725" t="s">
        <v>2159</v>
      </c>
      <c r="HC1" s="725"/>
      <c r="HD1" s="726" t="s">
        <v>824</v>
      </c>
      <c r="HE1" s="726"/>
      <c r="HF1" s="703" t="s">
        <v>1732</v>
      </c>
      <c r="HG1" s="703"/>
      <c r="HH1" s="725" t="s">
        <v>2172</v>
      </c>
      <c r="HI1" s="725"/>
      <c r="HJ1" s="726" t="s">
        <v>824</v>
      </c>
      <c r="HK1" s="726"/>
      <c r="HL1" s="703" t="s">
        <v>1408</v>
      </c>
      <c r="HM1" s="703"/>
      <c r="HN1" s="725" t="s">
        <v>2218</v>
      </c>
      <c r="HO1" s="725"/>
      <c r="HP1" s="726" t="s">
        <v>824</v>
      </c>
      <c r="HQ1" s="726"/>
      <c r="HR1" s="703" t="s">
        <v>1408</v>
      </c>
      <c r="HS1" s="703"/>
      <c r="HT1" s="725" t="s">
        <v>2274</v>
      </c>
      <c r="HU1" s="725"/>
      <c r="HV1" s="726" t="s">
        <v>824</v>
      </c>
      <c r="HW1" s="726"/>
      <c r="HX1" s="703" t="s">
        <v>1633</v>
      </c>
      <c r="HY1" s="703"/>
      <c r="HZ1" s="725" t="s">
        <v>2336</v>
      </c>
      <c r="IA1" s="725"/>
      <c r="IB1" s="726" t="s">
        <v>824</v>
      </c>
      <c r="IC1" s="726"/>
      <c r="ID1" s="703" t="s">
        <v>1732</v>
      </c>
      <c r="IE1" s="703"/>
      <c r="IF1" s="725" t="s">
        <v>2404</v>
      </c>
      <c r="IG1" s="725"/>
      <c r="IH1" s="726" t="s">
        <v>824</v>
      </c>
      <c r="II1" s="726"/>
      <c r="IJ1" s="703" t="s">
        <v>1607</v>
      </c>
      <c r="IK1" s="703"/>
      <c r="IL1" s="725" t="s">
        <v>2480</v>
      </c>
      <c r="IM1" s="725"/>
      <c r="IN1" s="726" t="s">
        <v>824</v>
      </c>
      <c r="IO1" s="726"/>
      <c r="IP1" s="703" t="s">
        <v>1633</v>
      </c>
      <c r="IQ1" s="703"/>
      <c r="IR1" s="725" t="s">
        <v>2587</v>
      </c>
      <c r="IS1" s="725"/>
      <c r="IT1" s="726" t="s">
        <v>824</v>
      </c>
      <c r="IU1" s="726"/>
      <c r="IV1" s="703" t="s">
        <v>1765</v>
      </c>
      <c r="IW1" s="703"/>
      <c r="IX1" s="725" t="s">
        <v>2701</v>
      </c>
      <c r="IY1" s="725"/>
      <c r="IZ1" s="726" t="s">
        <v>824</v>
      </c>
      <c r="JA1" s="726"/>
      <c r="JB1" s="703" t="s">
        <v>1765</v>
      </c>
      <c r="JC1" s="703"/>
      <c r="JD1" s="725" t="s">
        <v>2338</v>
      </c>
      <c r="JE1" s="725"/>
      <c r="JF1" s="636"/>
    </row>
    <row r="2" spans="1:267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6" t="s">
        <v>295</v>
      </c>
      <c r="IU2" s="537">
        <f>SUM(IU3:IU19)</f>
        <v>42019.250000000007</v>
      </c>
      <c r="IV2" s="341" t="s">
        <v>296</v>
      </c>
      <c r="IW2" s="280">
        <f>IU2+IS2-IY2</f>
        <v>11439.987000000023</v>
      </c>
      <c r="IX2" s="626" t="s">
        <v>1928</v>
      </c>
      <c r="IY2" s="370">
        <f>SUM(IY3:IY23)</f>
        <v>111565.26299999998</v>
      </c>
      <c r="IZ2" s="684" t="s">
        <v>295</v>
      </c>
      <c r="JA2" s="537">
        <f>SUM(JA3:JA17)</f>
        <v>6</v>
      </c>
      <c r="JB2" s="341" t="s">
        <v>296</v>
      </c>
      <c r="JC2" s="280">
        <f>JA2+IY2-JE2</f>
        <v>873.13299999997253</v>
      </c>
      <c r="JD2" s="684" t="s">
        <v>1928</v>
      </c>
      <c r="JE2" s="370">
        <f>SUM(JE3:JE23)</f>
        <v>110698.13</v>
      </c>
      <c r="JF2" s="668"/>
    </row>
    <row r="3" spans="1:267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6" t="s">
        <v>641</v>
      </c>
      <c r="IU3" s="587">
        <v>43151.3</v>
      </c>
      <c r="IV3" s="626" t="s">
        <v>2434</v>
      </c>
      <c r="IW3" s="280">
        <f>IW2-IU25-IU24-IW44</f>
        <v>5412.0003333333552</v>
      </c>
      <c r="IX3" s="626" t="s">
        <v>2382</v>
      </c>
      <c r="IY3" s="275">
        <f>$IA$6</f>
        <v>-420000</v>
      </c>
      <c r="IZ3" s="684" t="s">
        <v>641</v>
      </c>
      <c r="JA3" s="587"/>
      <c r="JB3" s="684" t="s">
        <v>2434</v>
      </c>
      <c r="JC3" s="280">
        <f>JC2-JA23-JA22-JC44</f>
        <v>873.13299999997253</v>
      </c>
      <c r="JD3" s="684" t="s">
        <v>2382</v>
      </c>
      <c r="JE3" s="275">
        <f>$IA$6</f>
        <v>-420000</v>
      </c>
      <c r="JF3" s="668"/>
    </row>
    <row r="4" spans="1:267" ht="12.75" customHeight="1" thickBot="1" x14ac:dyDescent="0.25">
      <c r="A4" s="700" t="s">
        <v>1003</v>
      </c>
      <c r="B4" s="700"/>
      <c r="E4" s="173" t="s">
        <v>233</v>
      </c>
      <c r="F4" s="177">
        <f>F3-F5</f>
        <v>17</v>
      </c>
      <c r="G4" s="700" t="s">
        <v>1003</v>
      </c>
      <c r="H4" s="70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0" t="s">
        <v>2256</v>
      </c>
      <c r="IU4" s="587">
        <v>-1437.02</v>
      </c>
      <c r="IV4" s="626" t="s">
        <v>1220</v>
      </c>
      <c r="IW4" s="293">
        <f>IW2-IW5</f>
        <v>0.48700000001917942</v>
      </c>
      <c r="IX4" s="672" t="s">
        <v>2682</v>
      </c>
      <c r="IY4" s="675">
        <v>0.13300000000000001</v>
      </c>
      <c r="IZ4" s="684" t="s">
        <v>2256</v>
      </c>
      <c r="JA4" s="587"/>
      <c r="JB4" s="684" t="s">
        <v>1220</v>
      </c>
      <c r="JC4" s="293">
        <f>JC2-JC5</f>
        <v>-0.56700000002751949</v>
      </c>
      <c r="JD4" s="684" t="s">
        <v>2702</v>
      </c>
      <c r="JE4" s="675">
        <f>-140000-56000</f>
        <v>-196000</v>
      </c>
      <c r="JF4" s="668"/>
    </row>
    <row r="5" spans="1:267" x14ac:dyDescent="0.2">
      <c r="A5" s="700"/>
      <c r="B5" s="700"/>
      <c r="E5" s="173" t="s">
        <v>358</v>
      </c>
      <c r="F5" s="177">
        <f>SUM(F15:F56)</f>
        <v>12750</v>
      </c>
      <c r="G5" s="700"/>
      <c r="H5" s="70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6" t="s">
        <v>2676</v>
      </c>
      <c r="IU5" s="537">
        <f>-30-11-12-13</f>
        <v>-66</v>
      </c>
      <c r="IV5" s="626" t="s">
        <v>358</v>
      </c>
      <c r="IW5" s="280">
        <f>SUM(IW6:IW39)</f>
        <v>11439.500000000004</v>
      </c>
      <c r="IX5" s="630" t="s">
        <v>2316</v>
      </c>
      <c r="IY5" s="279">
        <v>-75000</v>
      </c>
      <c r="IZ5" s="684" t="s">
        <v>2676</v>
      </c>
      <c r="JA5" s="537"/>
      <c r="JB5" s="684" t="s">
        <v>358</v>
      </c>
      <c r="JC5" s="280">
        <f>SUM(JC6:JC39)</f>
        <v>873.7</v>
      </c>
      <c r="JD5" s="688" t="s">
        <v>2316</v>
      </c>
      <c r="JE5" s="279">
        <v>-75000</v>
      </c>
      <c r="JF5" s="668"/>
    </row>
    <row r="6" spans="1:267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6" t="s">
        <v>2669</v>
      </c>
      <c r="IU6" s="537">
        <v>100</v>
      </c>
      <c r="IV6" s="358" t="s">
        <v>2496</v>
      </c>
      <c r="IW6" s="61">
        <v>11</v>
      </c>
      <c r="IX6" s="629" t="s">
        <v>2439</v>
      </c>
      <c r="IY6" s="275">
        <v>-4000</v>
      </c>
      <c r="JA6" s="537"/>
      <c r="JB6" s="358" t="s">
        <v>2496</v>
      </c>
      <c r="JC6" s="61"/>
      <c r="JD6" s="689" t="s">
        <v>2439</v>
      </c>
      <c r="JE6" s="275">
        <v>-4000</v>
      </c>
      <c r="JF6" s="668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2576</v>
      </c>
      <c r="IO7" s="537"/>
      <c r="IP7" s="358" t="s">
        <v>2533</v>
      </c>
      <c r="IQ7" s="61">
        <v>17</v>
      </c>
      <c r="IR7" s="327" t="s">
        <v>2504</v>
      </c>
      <c r="IS7" s="637">
        <v>0</v>
      </c>
      <c r="IT7" s="666" t="s">
        <v>2666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2679</v>
      </c>
      <c r="IY7" s="2">
        <f>100*(120+1000+330+310)</f>
        <v>176000</v>
      </c>
      <c r="IZ7" s="684" t="s">
        <v>2576</v>
      </c>
      <c r="JA7" s="537"/>
      <c r="JB7" s="358" t="s">
        <v>1014</v>
      </c>
      <c r="JC7" s="61"/>
      <c r="JD7" s="261" t="s">
        <v>2679</v>
      </c>
      <c r="JE7" s="2">
        <f>100*(120+1000+330+310)</f>
        <v>176000</v>
      </c>
      <c r="JF7" s="668"/>
    </row>
    <row r="8" spans="1:267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6">
        <v>-3061</v>
      </c>
      <c r="IU8" s="537"/>
      <c r="IV8" s="358" t="s">
        <v>2665</v>
      </c>
      <c r="IW8" s="61">
        <v>2000</v>
      </c>
      <c r="IX8" s="626" t="s">
        <v>2461</v>
      </c>
      <c r="IY8" s="275">
        <v>360000</v>
      </c>
      <c r="IZ8" s="684" t="s">
        <v>2675</v>
      </c>
      <c r="JA8" s="537"/>
      <c r="JB8" s="358" t="s">
        <v>2703</v>
      </c>
      <c r="JC8" s="61"/>
      <c r="JD8" s="684" t="s">
        <v>2461</v>
      </c>
      <c r="JE8" s="275">
        <v>560000</v>
      </c>
      <c r="JF8" s="668">
        <v>44978</v>
      </c>
    </row>
    <row r="9" spans="1:267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2577</v>
      </c>
      <c r="IO9">
        <f>9.9+76.9</f>
        <v>86.800000000000011</v>
      </c>
      <c r="IP9" s="358" t="s">
        <v>2528</v>
      </c>
      <c r="IQ9" s="61">
        <v>2000</v>
      </c>
      <c r="IR9" s="6" t="s">
        <v>2575</v>
      </c>
      <c r="IS9" s="366">
        <v>116</v>
      </c>
      <c r="IT9" s="626" t="s">
        <v>2576</v>
      </c>
      <c r="IU9" s="537"/>
      <c r="IV9" s="402" t="s">
        <v>2664</v>
      </c>
      <c r="IW9" s="578">
        <v>2000</v>
      </c>
      <c r="IX9" s="327" t="s">
        <v>2504</v>
      </c>
      <c r="IY9" s="681">
        <v>-49.87</v>
      </c>
      <c r="IZ9" s="684" t="s">
        <v>2699</v>
      </c>
      <c r="JB9" s="402" t="s">
        <v>2051</v>
      </c>
      <c r="JC9" s="578">
        <v>454.04</v>
      </c>
      <c r="JD9" s="327" t="s">
        <v>2504</v>
      </c>
      <c r="JE9" s="637">
        <v>-49.87</v>
      </c>
      <c r="JF9" s="668"/>
    </row>
    <row r="10" spans="1:267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2582</v>
      </c>
      <c r="IO10" s="617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6" t="s">
        <v>2675</v>
      </c>
      <c r="IU10" s="537">
        <v>15.03</v>
      </c>
      <c r="IV10" s="402" t="s">
        <v>2670</v>
      </c>
      <c r="IW10" s="578">
        <v>135.25</v>
      </c>
      <c r="IX10" s="630" t="s">
        <v>1647</v>
      </c>
      <c r="IY10" s="636">
        <v>-997</v>
      </c>
      <c r="JB10" s="353" t="s">
        <v>2704</v>
      </c>
      <c r="JC10" s="579">
        <v>52.89</v>
      </c>
      <c r="JD10" s="688" t="s">
        <v>1647</v>
      </c>
      <c r="JE10" s="636">
        <v>-997</v>
      </c>
      <c r="JF10" s="669">
        <v>44972</v>
      </c>
    </row>
    <row r="11" spans="1:267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2583</v>
      </c>
      <c r="IO11" s="618">
        <v>10</v>
      </c>
      <c r="IP11" s="353" t="s">
        <v>2593</v>
      </c>
      <c r="IQ11" s="61">
        <f>406.6+487.92</f>
        <v>894.52</v>
      </c>
      <c r="IR11" s="66" t="s">
        <v>1522</v>
      </c>
      <c r="IS11" s="275">
        <v>364</v>
      </c>
      <c r="IT11" s="626" t="s">
        <v>2699</v>
      </c>
      <c r="IU11" s="626">
        <v>25.58</v>
      </c>
      <c r="IV11" s="402" t="s">
        <v>2631</v>
      </c>
      <c r="IW11" s="578">
        <v>378.81</v>
      </c>
      <c r="IX11" s="628" t="s">
        <v>1855</v>
      </c>
      <c r="IY11" s="541">
        <v>2600</v>
      </c>
      <c r="JB11" s="252" t="s">
        <v>2697</v>
      </c>
      <c r="JC11" s="2"/>
      <c r="JD11" s="686" t="s">
        <v>1855</v>
      </c>
      <c r="JE11" s="691">
        <v>500</v>
      </c>
      <c r="JF11" s="668">
        <v>44977</v>
      </c>
      <c r="JG11" s="562"/>
    </row>
    <row r="12" spans="1:267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2667</v>
      </c>
      <c r="IW12" s="579">
        <v>170</v>
      </c>
      <c r="IX12" s="629" t="s">
        <v>1522</v>
      </c>
      <c r="IY12" s="275">
        <v>983</v>
      </c>
      <c r="IZ12" s="684" t="s">
        <v>2449</v>
      </c>
      <c r="JA12" s="559"/>
      <c r="JB12" s="352" t="s">
        <v>2586</v>
      </c>
      <c r="JC12" s="2"/>
      <c r="JD12" s="689" t="s">
        <v>1522</v>
      </c>
      <c r="JE12" s="275">
        <v>817</v>
      </c>
      <c r="JF12" s="668">
        <v>44979</v>
      </c>
      <c r="JG12" s="275"/>
    </row>
    <row r="13" spans="1:267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2589</v>
      </c>
      <c r="IQ13" s="420">
        <f>2750.62/3</f>
        <v>916.87333333333333</v>
      </c>
      <c r="IR13" s="261" t="s">
        <v>2594</v>
      </c>
      <c r="IS13" s="2">
        <v>142</v>
      </c>
      <c r="IV13" s="252" t="s">
        <v>2697</v>
      </c>
      <c r="IW13" s="2">
        <f>IW14*2</f>
        <v>2116.9666666666667</v>
      </c>
      <c r="IX13" s="629" t="s">
        <v>1523</v>
      </c>
      <c r="IY13" s="275">
        <v>618</v>
      </c>
      <c r="IZ13" s="684" t="s">
        <v>2181</v>
      </c>
      <c r="JA13" s="559"/>
      <c r="JB13" s="352" t="s">
        <v>2692</v>
      </c>
      <c r="JC13" s="61">
        <v>110.79</v>
      </c>
      <c r="JD13" s="689" t="s">
        <v>1523</v>
      </c>
      <c r="JE13" s="275">
        <v>1001</v>
      </c>
      <c r="JF13" s="668">
        <v>44979</v>
      </c>
      <c r="JG13" s="275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8" t="s">
        <v>2203</v>
      </c>
      <c r="HK14" s="708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2677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18">
        <v>30</v>
      </c>
      <c r="IR14" s="66" t="s">
        <v>2503</v>
      </c>
      <c r="IS14" s="2" t="s">
        <v>2591</v>
      </c>
      <c r="IT14" s="626" t="s">
        <v>2449</v>
      </c>
      <c r="IU14" s="559"/>
      <c r="IV14" s="352" t="s">
        <v>2586</v>
      </c>
      <c r="IW14" s="2">
        <f>3175.45/3</f>
        <v>1058.4833333333333</v>
      </c>
      <c r="IX14" s="629" t="s">
        <v>2599</v>
      </c>
      <c r="IY14" s="683">
        <v>24</v>
      </c>
      <c r="IZ14" s="684" t="s">
        <v>2598</v>
      </c>
      <c r="JA14" s="537"/>
      <c r="JB14" s="352" t="s">
        <v>2193</v>
      </c>
      <c r="JD14" s="689" t="s">
        <v>2599</v>
      </c>
      <c r="JE14" s="683">
        <v>24</v>
      </c>
      <c r="JF14" s="668">
        <v>44972</v>
      </c>
    </row>
    <row r="15" spans="1:267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38" t="s">
        <v>1521</v>
      </c>
      <c r="DP15" s="739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6" t="s">
        <v>2674</v>
      </c>
      <c r="IU15" s="559">
        <v>43</v>
      </c>
      <c r="IV15" s="352" t="s">
        <v>2605</v>
      </c>
      <c r="IW15" s="61">
        <v>47.54</v>
      </c>
      <c r="IX15" s="535" t="s">
        <v>2505</v>
      </c>
      <c r="IY15" s="248">
        <v>65005</v>
      </c>
      <c r="IZ15" s="684" t="s">
        <v>2696</v>
      </c>
      <c r="JB15" s="352" t="s">
        <v>2700</v>
      </c>
      <c r="JC15" s="580" t="s">
        <v>2705</v>
      </c>
      <c r="JD15" s="535" t="s">
        <v>2505</v>
      </c>
      <c r="JE15" s="248">
        <v>65005</v>
      </c>
      <c r="JF15" s="668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6" t="s">
        <v>2598</v>
      </c>
      <c r="IU16" s="537">
        <v>7.57</v>
      </c>
      <c r="IV16" s="352" t="s">
        <v>2193</v>
      </c>
      <c r="IW16" s="626">
        <f>30+59.31</f>
        <v>89.31</v>
      </c>
      <c r="IX16" s="629" t="s">
        <v>2595</v>
      </c>
      <c r="IY16" s="667">
        <v>4175</v>
      </c>
      <c r="IZ16" s="684" t="s">
        <v>2668</v>
      </c>
      <c r="JA16" s="537"/>
      <c r="JB16" s="352" t="s">
        <v>1212</v>
      </c>
      <c r="JC16" s="61"/>
      <c r="JD16" s="689" t="s">
        <v>2595</v>
      </c>
      <c r="JE16" s="667">
        <v>1275</v>
      </c>
      <c r="JF16" s="668">
        <v>44977</v>
      </c>
    </row>
    <row r="17" spans="1:266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T17" s="626" t="s">
        <v>2696</v>
      </c>
      <c r="IU17" s="626">
        <v>13.86</v>
      </c>
      <c r="IV17" s="352" t="s">
        <v>2706</v>
      </c>
      <c r="IW17" s="580">
        <v>110.02</v>
      </c>
      <c r="IX17" s="682" t="s">
        <v>2698</v>
      </c>
      <c r="IY17" s="275">
        <v>10</v>
      </c>
      <c r="IZ17" s="415" t="s">
        <v>2718</v>
      </c>
      <c r="JA17" s="555">
        <v>6</v>
      </c>
      <c r="JB17" s="352" t="s">
        <v>2205</v>
      </c>
      <c r="JC17" s="61"/>
      <c r="JD17" s="689" t="s">
        <v>2698</v>
      </c>
      <c r="JE17" s="275">
        <v>10</v>
      </c>
      <c r="JF17" s="668">
        <v>44972</v>
      </c>
    </row>
    <row r="18" spans="1:266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T18" s="626" t="s">
        <v>2668</v>
      </c>
      <c r="IU18" s="537">
        <v>14</v>
      </c>
      <c r="IV18" s="352" t="s">
        <v>2205</v>
      </c>
      <c r="IW18" s="61">
        <f>9</f>
        <v>9</v>
      </c>
      <c r="IX18" s="630" t="s">
        <v>2590</v>
      </c>
      <c r="IY18" s="626">
        <v>190</v>
      </c>
      <c r="IZ18" s="414"/>
      <c r="JA18" s="555"/>
      <c r="JB18" s="352" t="s">
        <v>2501</v>
      </c>
      <c r="JC18" s="61">
        <v>96</v>
      </c>
      <c r="JD18" s="688" t="s">
        <v>2590</v>
      </c>
      <c r="JE18" s="684">
        <v>100</v>
      </c>
      <c r="JF18" s="668">
        <v>44978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38" t="s">
        <v>1491</v>
      </c>
      <c r="DJ19" s="739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2596</v>
      </c>
      <c r="IO19" s="537">
        <v>5</v>
      </c>
      <c r="IP19" s="352" t="s">
        <v>2574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2403</v>
      </c>
      <c r="IW19" s="61">
        <f>15.7+10+18.29+10+10+15.09+18.53+17.55+15.01+10+16.79</f>
        <v>156.95999999999998</v>
      </c>
      <c r="IX19" s="632" t="s">
        <v>2491</v>
      </c>
      <c r="IY19" s="626">
        <v>2007</v>
      </c>
      <c r="IZ19" s="414"/>
      <c r="JA19" s="555"/>
      <c r="JB19" s="352" t="s">
        <v>2403</v>
      </c>
      <c r="JC19" s="61">
        <f>17.98</f>
        <v>17.98</v>
      </c>
      <c r="JD19" s="690" t="s">
        <v>2491</v>
      </c>
      <c r="JE19" s="684">
        <v>2013</v>
      </c>
      <c r="JF19" s="668">
        <v>44978</v>
      </c>
    </row>
    <row r="20" spans="1:266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4"/>
      <c r="IU20" s="555"/>
      <c r="IV20" s="344" t="s">
        <v>2680</v>
      </c>
      <c r="IW20" s="61">
        <v>80</v>
      </c>
      <c r="IX20" s="631" t="s">
        <v>2517</v>
      </c>
      <c r="IZ20" s="415"/>
      <c r="JB20" s="344" t="s">
        <v>1880</v>
      </c>
      <c r="JC20" s="61"/>
      <c r="JD20" s="687" t="s">
        <v>2517</v>
      </c>
    </row>
    <row r="21" spans="1:266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T21" s="414"/>
      <c r="IU21" s="555"/>
      <c r="IV21" s="344" t="s">
        <v>2671</v>
      </c>
      <c r="IW21" s="61">
        <v>42.51</v>
      </c>
      <c r="IX21" s="631"/>
      <c r="IZ21" s="697" t="s">
        <v>2188</v>
      </c>
      <c r="JA21" s="697"/>
      <c r="JB21" s="344" t="s">
        <v>2716</v>
      </c>
      <c r="JC21" s="61">
        <v>34</v>
      </c>
      <c r="JD21" s="687"/>
    </row>
    <row r="22" spans="1:266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1" t="s">
        <v>515</v>
      </c>
      <c r="N22" s="731"/>
      <c r="Q22" s="169" t="s">
        <v>371</v>
      </c>
      <c r="S22" s="731" t="s">
        <v>515</v>
      </c>
      <c r="T22" s="731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8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7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V22" s="344" t="s">
        <v>2690</v>
      </c>
      <c r="IW22" s="61">
        <v>45.98</v>
      </c>
      <c r="IX22" s="631" t="s">
        <v>2460</v>
      </c>
      <c r="IZ22" s="358" t="s">
        <v>1976</v>
      </c>
      <c r="JA22" s="293">
        <f>SUM(JC6:JC8)</f>
        <v>0</v>
      </c>
      <c r="JB22" s="344" t="s">
        <v>1880</v>
      </c>
      <c r="JC22" s="61"/>
      <c r="JD22" s="687" t="s">
        <v>2460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9" t="s">
        <v>1002</v>
      </c>
      <c r="N23" s="729"/>
      <c r="Q23" s="169" t="s">
        <v>375</v>
      </c>
      <c r="S23" s="729" t="s">
        <v>1002</v>
      </c>
      <c r="T23" s="729"/>
      <c r="W23" s="250" t="s">
        <v>1031</v>
      </c>
      <c r="X23" s="145">
        <v>0</v>
      </c>
      <c r="Y23" s="731" t="s">
        <v>515</v>
      </c>
      <c r="Z23" s="731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8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7" t="s">
        <v>2188</v>
      </c>
      <c r="HK23" s="697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7" t="s">
        <v>2188</v>
      </c>
      <c r="HW23" s="697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7"/>
      <c r="IO23" s="537"/>
      <c r="IP23" s="344" t="s">
        <v>1908</v>
      </c>
      <c r="IQ23" s="61">
        <v>80</v>
      </c>
      <c r="IR23" s="260" t="s">
        <v>2509</v>
      </c>
      <c r="IS23" s="285"/>
      <c r="IT23" s="697" t="s">
        <v>2188</v>
      </c>
      <c r="IU23" s="697"/>
      <c r="IV23" s="344" t="s">
        <v>2693</v>
      </c>
      <c r="IW23" s="61">
        <v>45.2</v>
      </c>
      <c r="IX23" s="680"/>
      <c r="IY23" s="638"/>
      <c r="IZ23" s="252" t="s">
        <v>1977</v>
      </c>
      <c r="JA23" s="293">
        <f>SUM(JC11:JC11)</f>
        <v>0</v>
      </c>
      <c r="JB23" s="344" t="s">
        <v>1880</v>
      </c>
      <c r="JC23" s="61"/>
      <c r="JD23" s="687"/>
      <c r="JE23" s="687"/>
    </row>
    <row r="24" spans="1:266" x14ac:dyDescent="0.2">
      <c r="A24" s="731" t="s">
        <v>515</v>
      </c>
      <c r="B24" s="731"/>
      <c r="E24" s="167" t="s">
        <v>237</v>
      </c>
      <c r="F24" s="169"/>
      <c r="G24" s="731" t="s">
        <v>515</v>
      </c>
      <c r="H24" s="731"/>
      <c r="K24" s="250" t="s">
        <v>1031</v>
      </c>
      <c r="L24" s="145">
        <v>0</v>
      </c>
      <c r="M24" s="724"/>
      <c r="N24" s="724"/>
      <c r="Q24" s="169" t="s">
        <v>1072</v>
      </c>
      <c r="S24" s="724"/>
      <c r="T24" s="724"/>
      <c r="W24" s="250" t="s">
        <v>1039</v>
      </c>
      <c r="X24" s="210">
        <v>0</v>
      </c>
      <c r="Y24" s="729" t="s">
        <v>1002</v>
      </c>
      <c r="Z24" s="729"/>
      <c r="AC24"/>
      <c r="AE24" s="731" t="s">
        <v>515</v>
      </c>
      <c r="AF24" s="731"/>
      <c r="AI24"/>
      <c r="AK24" s="731" t="s">
        <v>515</v>
      </c>
      <c r="AL24" s="731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27" t="s">
        <v>1553</v>
      </c>
      <c r="EF24" s="727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8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8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7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358" t="s">
        <v>1976</v>
      </c>
      <c r="IU24" s="293">
        <f>SUM(IW6:IW8)</f>
        <v>3911.02</v>
      </c>
      <c r="IV24" s="344" t="s">
        <v>2691</v>
      </c>
      <c r="IW24" s="61">
        <v>54.7</v>
      </c>
      <c r="IX24" s="549"/>
      <c r="IZ24" s="369" t="s">
        <v>1409</v>
      </c>
      <c r="JA24" s="684">
        <f>SUM(JC9:JC9)</f>
        <v>454.04</v>
      </c>
      <c r="JB24" s="344" t="s">
        <v>1880</v>
      </c>
      <c r="JC24" s="61"/>
      <c r="JD24" s="549"/>
    </row>
    <row r="25" spans="1:266" x14ac:dyDescent="0.2">
      <c r="A25" s="729" t="s">
        <v>1002</v>
      </c>
      <c r="B25" s="729"/>
      <c r="E25" s="167" t="s">
        <v>139</v>
      </c>
      <c r="F25" s="169"/>
      <c r="G25" s="729" t="s">
        <v>1002</v>
      </c>
      <c r="H25" s="729"/>
      <c r="K25" s="250" t="s">
        <v>1039</v>
      </c>
      <c r="L25" s="210">
        <v>0</v>
      </c>
      <c r="M25" s="724"/>
      <c r="N25" s="724"/>
      <c r="Q25" s="250" t="s">
        <v>1041</v>
      </c>
      <c r="R25" s="145">
        <v>0</v>
      </c>
      <c r="S25" s="724"/>
      <c r="T25" s="724"/>
      <c r="W25" s="250" t="s">
        <v>1066</v>
      </c>
      <c r="X25" s="145">
        <v>910.17</v>
      </c>
      <c r="Y25" s="724"/>
      <c r="Z25" s="724"/>
      <c r="AC25" s="255" t="s">
        <v>1099</v>
      </c>
      <c r="AD25" s="145">
        <v>90</v>
      </c>
      <c r="AE25" s="729" t="s">
        <v>1002</v>
      </c>
      <c r="AF25" s="729"/>
      <c r="AI25" s="252" t="s">
        <v>1117</v>
      </c>
      <c r="AJ25" s="145">
        <v>30</v>
      </c>
      <c r="AK25" s="729" t="s">
        <v>1002</v>
      </c>
      <c r="AL25" s="729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9"/>
      <c r="BH25" s="729"/>
      <c r="BK25" s="273" t="s">
        <v>1239</v>
      </c>
      <c r="BL25" s="210">
        <v>48.54</v>
      </c>
      <c r="BM25" s="729"/>
      <c r="BN25" s="729"/>
      <c r="BQ25" s="273" t="s">
        <v>1067</v>
      </c>
      <c r="BR25" s="210">
        <v>50.15</v>
      </c>
      <c r="BS25" s="729" t="s">
        <v>1262</v>
      </c>
      <c r="BT25" s="729"/>
      <c r="BW25" s="273" t="s">
        <v>1067</v>
      </c>
      <c r="BX25" s="210">
        <v>48.54</v>
      </c>
      <c r="BY25" s="729"/>
      <c r="BZ25" s="729"/>
      <c r="CC25" s="273" t="s">
        <v>1067</v>
      </c>
      <c r="CD25" s="210">
        <v>142.91</v>
      </c>
      <c r="CE25" s="729"/>
      <c r="CF25" s="729"/>
      <c r="CI25" s="273" t="s">
        <v>1329</v>
      </c>
      <c r="CJ25" s="210">
        <v>35.049999999999997</v>
      </c>
      <c r="CK25" s="724"/>
      <c r="CL25" s="724"/>
      <c r="CO25" s="273" t="s">
        <v>1303</v>
      </c>
      <c r="CP25" s="210">
        <v>153.41</v>
      </c>
      <c r="CQ25" s="724" t="s">
        <v>1344</v>
      </c>
      <c r="CR25" s="724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8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7" t="s">
        <v>2188</v>
      </c>
      <c r="IC25" s="697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2578</v>
      </c>
      <c r="IT25" s="252" t="s">
        <v>1977</v>
      </c>
      <c r="IU25" s="293">
        <f>SUM(IW13:IW13)</f>
        <v>2116.9666666666667</v>
      </c>
      <c r="IV25" s="626" t="s">
        <v>2515</v>
      </c>
      <c r="IW25" s="78">
        <f>2+59+11+23</f>
        <v>95</v>
      </c>
      <c r="IX25" s="549"/>
      <c r="IY25" s="639"/>
      <c r="IZ25" s="353" t="s">
        <v>2183</v>
      </c>
      <c r="JA25" s="684">
        <f>SUM(JC10:JC10)</f>
        <v>52.89</v>
      </c>
      <c r="JB25" s="684" t="s">
        <v>2515</v>
      </c>
      <c r="JC25" s="78"/>
      <c r="JD25" s="549"/>
    </row>
    <row r="26" spans="1:266" x14ac:dyDescent="0.2">
      <c r="A26" s="724"/>
      <c r="B26" s="724"/>
      <c r="E26" s="203" t="s">
        <v>368</v>
      </c>
      <c r="F26" s="173"/>
      <c r="G26" s="724"/>
      <c r="H26" s="724"/>
      <c r="K26" s="250" t="s">
        <v>1030</v>
      </c>
      <c r="L26" s="145">
        <f>910+40</f>
        <v>950</v>
      </c>
      <c r="M26" s="724"/>
      <c r="N26" s="724"/>
      <c r="Q26" s="250" t="s">
        <v>1038</v>
      </c>
      <c r="R26" s="145">
        <v>0</v>
      </c>
      <c r="S26" s="724"/>
      <c r="T26" s="724"/>
      <c r="W26" s="146" t="s">
        <v>1101</v>
      </c>
      <c r="X26" s="145">
        <v>110.58</v>
      </c>
      <c r="Y26" s="724"/>
      <c r="Z26" s="724"/>
      <c r="AE26" s="724"/>
      <c r="AF26" s="724"/>
      <c r="AK26" s="724"/>
      <c r="AL26" s="724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24"/>
      <c r="AX26" s="724"/>
      <c r="AY26" s="146"/>
      <c r="AZ26" s="210"/>
      <c r="BA26" s="724"/>
      <c r="BB26" s="724"/>
      <c r="BE26" s="146" t="s">
        <v>1212</v>
      </c>
      <c r="BF26" s="210">
        <f>6.5*2</f>
        <v>13</v>
      </c>
      <c r="BG26" s="724"/>
      <c r="BH26" s="724"/>
      <c r="BK26" s="273" t="s">
        <v>1212</v>
      </c>
      <c r="BL26" s="210">
        <f>6.5*2</f>
        <v>13</v>
      </c>
      <c r="BM26" s="724"/>
      <c r="BN26" s="724"/>
      <c r="BQ26" s="273" t="s">
        <v>1212</v>
      </c>
      <c r="BR26" s="210">
        <v>13</v>
      </c>
      <c r="BS26" s="724"/>
      <c r="BT26" s="724"/>
      <c r="BW26" s="273" t="s">
        <v>1212</v>
      </c>
      <c r="BX26" s="210">
        <v>13</v>
      </c>
      <c r="BY26" s="724"/>
      <c r="BZ26" s="724"/>
      <c r="CC26" s="273" t="s">
        <v>1212</v>
      </c>
      <c r="CD26" s="210">
        <v>13</v>
      </c>
      <c r="CE26" s="724"/>
      <c r="CF26" s="724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44" t="s">
        <v>1553</v>
      </c>
      <c r="DZ26" s="745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27" t="s">
        <v>1553</v>
      </c>
      <c r="ES26" s="727"/>
      <c r="ET26" s="1" t="s">
        <v>1720</v>
      </c>
      <c r="EU26" s="279">
        <v>20000</v>
      </c>
      <c r="EW26" s="728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369" t="s">
        <v>1409</v>
      </c>
      <c r="IU26" s="626">
        <f>SUM(IW9:IW11)</f>
        <v>2514.06</v>
      </c>
      <c r="IV26" s="9" t="s">
        <v>2214</v>
      </c>
      <c r="IW26" s="580">
        <f>70+106+167+164+22.7</f>
        <v>529.70000000000005</v>
      </c>
      <c r="IX26" s="631"/>
      <c r="IZ26" s="352" t="s">
        <v>2184</v>
      </c>
      <c r="JA26" s="424">
        <f>SUM(JC12:JC19)</f>
        <v>224.77</v>
      </c>
      <c r="JB26" s="9" t="s">
        <v>2214</v>
      </c>
      <c r="JC26" s="580"/>
      <c r="JD26" s="687"/>
    </row>
    <row r="27" spans="1:266" x14ac:dyDescent="0.2">
      <c r="A27" s="724"/>
      <c r="B27" s="724"/>
      <c r="F27" s="199"/>
      <c r="G27" s="724"/>
      <c r="H27" s="724"/>
      <c r="K27"/>
      <c r="M27" s="734" t="s">
        <v>514</v>
      </c>
      <c r="N27" s="734"/>
      <c r="Q27" s="250" t="s">
        <v>1031</v>
      </c>
      <c r="R27" s="145">
        <v>0</v>
      </c>
      <c r="S27" s="734" t="s">
        <v>514</v>
      </c>
      <c r="T27" s="734"/>
      <c r="W27" s="146" t="s">
        <v>1067</v>
      </c>
      <c r="X27" s="145">
        <v>60.75</v>
      </c>
      <c r="Y27" s="724"/>
      <c r="Z27" s="724"/>
      <c r="AC27" s="224" t="s">
        <v>1108</v>
      </c>
      <c r="AD27" s="224"/>
      <c r="AE27" s="734" t="s">
        <v>514</v>
      </c>
      <c r="AF27" s="734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27" t="s">
        <v>1553</v>
      </c>
      <c r="EY27" s="727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7" t="s">
        <v>2188</v>
      </c>
      <c r="HQ27" s="697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3" t="s">
        <v>2183</v>
      </c>
      <c r="IU27" s="626">
        <f>SUM(IW12:IW12)</f>
        <v>170</v>
      </c>
      <c r="IV27" s="425">
        <v>22.7</v>
      </c>
      <c r="IW27" s="580"/>
      <c r="IX27" s="626" t="s">
        <v>514</v>
      </c>
      <c r="IZ27" s="344" t="s">
        <v>2182</v>
      </c>
      <c r="JA27" s="684">
        <f>SUM(JC20:JC24)</f>
        <v>34</v>
      </c>
      <c r="JB27" s="425">
        <v>22.7</v>
      </c>
      <c r="JC27" s="580"/>
      <c r="JD27" s="684" t="s">
        <v>514</v>
      </c>
    </row>
    <row r="28" spans="1:266" x14ac:dyDescent="0.2">
      <c r="A28" s="724"/>
      <c r="B28" s="724"/>
      <c r="E28" s="198" t="s">
        <v>366</v>
      </c>
      <c r="F28" s="199"/>
      <c r="G28" s="724"/>
      <c r="H28" s="724"/>
      <c r="K28" s="146" t="s">
        <v>1029</v>
      </c>
      <c r="L28" s="145">
        <f>60</f>
        <v>60</v>
      </c>
      <c r="M28" s="734" t="s">
        <v>1004</v>
      </c>
      <c r="N28" s="734"/>
      <c r="Q28" s="250" t="s">
        <v>1089</v>
      </c>
      <c r="R28" s="210">
        <v>200</v>
      </c>
      <c r="S28" s="734" t="s">
        <v>1004</v>
      </c>
      <c r="T28" s="734"/>
      <c r="W28" s="146" t="s">
        <v>1028</v>
      </c>
      <c r="X28" s="145">
        <v>61.35</v>
      </c>
      <c r="Y28" s="734" t="s">
        <v>514</v>
      </c>
      <c r="Z28" s="734"/>
      <c r="AC28" s="224" t="s">
        <v>1104</v>
      </c>
      <c r="AD28" s="224">
        <f>53+207+63</f>
        <v>323</v>
      </c>
      <c r="AE28" s="734" t="s">
        <v>1004</v>
      </c>
      <c r="AF28" s="734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27" t="s">
        <v>1764</v>
      </c>
      <c r="FE28" s="727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352" t="s">
        <v>2184</v>
      </c>
      <c r="IU28" s="424">
        <f>SUM(IW14:IW19)</f>
        <v>1471.3133333333333</v>
      </c>
      <c r="IV28" s="399" t="s">
        <v>1428</v>
      </c>
      <c r="IW28" s="421">
        <f>IS19+IU31-IY18</f>
        <v>70</v>
      </c>
      <c r="IX28" s="9" t="s">
        <v>1883</v>
      </c>
      <c r="JB28" s="399" t="s">
        <v>1428</v>
      </c>
      <c r="JC28" s="421">
        <f>IY18+JA29-JE18</f>
        <v>90</v>
      </c>
      <c r="JD28" s="9" t="s">
        <v>1883</v>
      </c>
    </row>
    <row r="29" spans="1:266" x14ac:dyDescent="0.2">
      <c r="A29" s="734" t="s">
        <v>514</v>
      </c>
      <c r="B29" s="734"/>
      <c r="E29" s="198" t="s">
        <v>282</v>
      </c>
      <c r="F29" s="199"/>
      <c r="G29" s="734" t="s">
        <v>514</v>
      </c>
      <c r="H29" s="734"/>
      <c r="K29" s="146" t="s">
        <v>1028</v>
      </c>
      <c r="L29" s="145">
        <v>0</v>
      </c>
      <c r="M29" s="733" t="s">
        <v>93</v>
      </c>
      <c r="N29" s="733"/>
      <c r="Q29" s="250" t="s">
        <v>1066</v>
      </c>
      <c r="R29" s="145">
        <v>0</v>
      </c>
      <c r="S29" s="733" t="s">
        <v>93</v>
      </c>
      <c r="T29" s="733"/>
      <c r="W29" s="146" t="s">
        <v>1027</v>
      </c>
      <c r="X29" s="145">
        <v>64</v>
      </c>
      <c r="Y29" s="734" t="s">
        <v>1004</v>
      </c>
      <c r="Z29" s="734"/>
      <c r="AC29" s="224" t="s">
        <v>1105</v>
      </c>
      <c r="AD29" s="224">
        <f>63+46</f>
        <v>109</v>
      </c>
      <c r="AE29" s="733" t="s">
        <v>93</v>
      </c>
      <c r="AF29" s="733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27" t="s">
        <v>1553</v>
      </c>
      <c r="EM29" s="727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2663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44" t="s">
        <v>2182</v>
      </c>
      <c r="IU29" s="626">
        <f>SUM(IW20:IW24)</f>
        <v>268.39</v>
      </c>
      <c r="IV29" s="422">
        <v>5</v>
      </c>
      <c r="IW29" s="589" t="s">
        <v>2600</v>
      </c>
      <c r="IX29" s="626" t="s">
        <v>93</v>
      </c>
      <c r="IZ29" s="685"/>
      <c r="JA29" s="360"/>
      <c r="JB29" s="422">
        <v>50</v>
      </c>
      <c r="JC29" s="589" t="s">
        <v>2711</v>
      </c>
      <c r="JD29" s="684" t="s">
        <v>93</v>
      </c>
    </row>
    <row r="30" spans="1:266" x14ac:dyDescent="0.2">
      <c r="A30" s="734" t="s">
        <v>1004</v>
      </c>
      <c r="B30" s="734"/>
      <c r="E30" s="198" t="s">
        <v>378</v>
      </c>
      <c r="F30" s="199"/>
      <c r="G30" s="734" t="s">
        <v>1004</v>
      </c>
      <c r="H30" s="734"/>
      <c r="K30" s="146" t="s">
        <v>1027</v>
      </c>
      <c r="L30" s="145">
        <v>64</v>
      </c>
      <c r="M30" s="724" t="s">
        <v>391</v>
      </c>
      <c r="N30" s="724"/>
      <c r="Q30"/>
      <c r="S30" s="724" t="s">
        <v>391</v>
      </c>
      <c r="T30" s="724"/>
      <c r="W30" s="146" t="s">
        <v>1026</v>
      </c>
      <c r="X30" s="145">
        <v>100.01</v>
      </c>
      <c r="Y30" s="733" t="s">
        <v>93</v>
      </c>
      <c r="Z30" s="733"/>
      <c r="AC30" s="145" t="s">
        <v>1103</v>
      </c>
      <c r="AD30" s="145">
        <v>65</v>
      </c>
      <c r="AE30" s="724" t="s">
        <v>391</v>
      </c>
      <c r="AF30" s="724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27" t="s">
        <v>1764</v>
      </c>
      <c r="FK30" s="727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2601</v>
      </c>
      <c r="IQ30" s="61" t="s">
        <v>2602</v>
      </c>
      <c r="IR30" s="588"/>
      <c r="IS30" s="573"/>
      <c r="IV30" s="422">
        <v>50</v>
      </c>
      <c r="IW30" s="589" t="s">
        <v>1845</v>
      </c>
      <c r="IX30" s="626" t="s">
        <v>2418</v>
      </c>
      <c r="JB30" s="422">
        <v>15</v>
      </c>
      <c r="JC30" s="589" t="s">
        <v>2717</v>
      </c>
      <c r="JD30" s="684" t="s">
        <v>2418</v>
      </c>
    </row>
    <row r="31" spans="1:266" ht="12.75" customHeight="1" x14ac:dyDescent="0.2">
      <c r="A31" s="733" t="s">
        <v>93</v>
      </c>
      <c r="B31" s="733"/>
      <c r="E31" s="198" t="s">
        <v>1019</v>
      </c>
      <c r="F31" s="173"/>
      <c r="G31" s="733" t="s">
        <v>93</v>
      </c>
      <c r="H31" s="733"/>
      <c r="K31" s="146" t="s">
        <v>1026</v>
      </c>
      <c r="L31" s="145">
        <v>50.01</v>
      </c>
      <c r="M31" s="732" t="s">
        <v>1013</v>
      </c>
      <c r="N31" s="732"/>
      <c r="Q31" s="146" t="s">
        <v>1068</v>
      </c>
      <c r="R31" s="145">
        <v>26</v>
      </c>
      <c r="S31" s="732" t="s">
        <v>1013</v>
      </c>
      <c r="T31" s="732"/>
      <c r="W31"/>
      <c r="Y31" s="724" t="s">
        <v>391</v>
      </c>
      <c r="Z31" s="724"/>
      <c r="AC31" s="145" t="s">
        <v>1106</v>
      </c>
      <c r="AD31" s="145">
        <v>10</v>
      </c>
      <c r="AE31" s="732" t="s">
        <v>1013</v>
      </c>
      <c r="AF31" s="732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627" t="s">
        <v>2603</v>
      </c>
      <c r="IU31" s="360">
        <v>90</v>
      </c>
      <c r="IV31" s="422">
        <v>10</v>
      </c>
      <c r="IW31" s="589" t="s">
        <v>2695</v>
      </c>
      <c r="IX31" s="626" t="s">
        <v>1691</v>
      </c>
      <c r="JB31" s="422"/>
      <c r="JC31" s="589"/>
      <c r="JD31" s="684" t="s">
        <v>1691</v>
      </c>
    </row>
    <row r="32" spans="1:266" x14ac:dyDescent="0.2">
      <c r="A32" s="724" t="s">
        <v>391</v>
      </c>
      <c r="B32" s="724"/>
      <c r="E32" s="173"/>
      <c r="F32" s="173"/>
      <c r="G32" s="724" t="s">
        <v>391</v>
      </c>
      <c r="H32" s="724"/>
      <c r="K32"/>
      <c r="M32" s="729" t="s">
        <v>243</v>
      </c>
      <c r="N32" s="729"/>
      <c r="Q32" s="146" t="s">
        <v>1067</v>
      </c>
      <c r="R32" s="145">
        <v>55</v>
      </c>
      <c r="S32" s="729" t="s">
        <v>243</v>
      </c>
      <c r="T32" s="729"/>
      <c r="W32" s="249" t="s">
        <v>1088</v>
      </c>
      <c r="X32" s="249">
        <v>0</v>
      </c>
      <c r="Y32" s="732" t="s">
        <v>1013</v>
      </c>
      <c r="Z32" s="732"/>
      <c r="AE32" s="729" t="s">
        <v>243</v>
      </c>
      <c r="AF32" s="729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37" t="s">
        <v>1455</v>
      </c>
      <c r="DP32" s="737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2663</v>
      </c>
      <c r="IC32" s="663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7" t="s">
        <v>2188</v>
      </c>
      <c r="IO32" s="697"/>
      <c r="IP32" s="344" t="s">
        <v>2592</v>
      </c>
      <c r="IQ32" s="61">
        <v>6.5</v>
      </c>
      <c r="IR32" t="s">
        <v>514</v>
      </c>
      <c r="IV32" s="671" t="s">
        <v>2673</v>
      </c>
      <c r="IW32" s="578">
        <v>70</v>
      </c>
      <c r="IX32" s="626" t="s">
        <v>1050</v>
      </c>
      <c r="JA32" s="539"/>
      <c r="JB32" s="671" t="s">
        <v>2402</v>
      </c>
      <c r="JC32" s="578">
        <v>18</v>
      </c>
      <c r="JD32" s="684" t="s">
        <v>1050</v>
      </c>
    </row>
    <row r="33" spans="1:263" x14ac:dyDescent="0.2">
      <c r="A33" s="732" t="s">
        <v>1013</v>
      </c>
      <c r="B33" s="732"/>
      <c r="C33" s="3"/>
      <c r="D33" s="3"/>
      <c r="E33" s="253"/>
      <c r="F33" s="253"/>
      <c r="G33" s="732" t="s">
        <v>1013</v>
      </c>
      <c r="H33" s="732"/>
      <c r="K33" s="249" t="s">
        <v>1033</v>
      </c>
      <c r="L33" s="249"/>
      <c r="M33" s="735" t="s">
        <v>1050</v>
      </c>
      <c r="N33" s="735"/>
      <c r="Q33" s="146" t="s">
        <v>1028</v>
      </c>
      <c r="R33" s="145">
        <v>77.239999999999995</v>
      </c>
      <c r="S33" s="735" t="s">
        <v>1050</v>
      </c>
      <c r="T33" s="735"/>
      <c r="Y33" s="729" t="s">
        <v>243</v>
      </c>
      <c r="Z33" s="729"/>
      <c r="AC33" s="202" t="s">
        <v>1024</v>
      </c>
      <c r="AD33" s="145">
        <v>350</v>
      </c>
      <c r="AE33" s="735" t="s">
        <v>1050</v>
      </c>
      <c r="AF33" s="735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40" t="s">
        <v>1428</v>
      </c>
      <c r="DB33" s="741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549" t="s">
        <v>2644</v>
      </c>
      <c r="IW33" s="626">
        <v>8.67</v>
      </c>
      <c r="JA33" s="539"/>
      <c r="JB33" s="549"/>
    </row>
    <row r="34" spans="1:263" x14ac:dyDescent="0.2">
      <c r="A34" s="729" t="s">
        <v>243</v>
      </c>
      <c r="B34" s="729"/>
      <c r="E34" s="173"/>
      <c r="F34" s="173"/>
      <c r="G34" s="729" t="s">
        <v>243</v>
      </c>
      <c r="H34" s="729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35" t="s">
        <v>1050</v>
      </c>
      <c r="Z34" s="735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U34" s="539"/>
      <c r="IV34" s="549" t="s">
        <v>2644</v>
      </c>
      <c r="IW34" s="579">
        <v>23.08</v>
      </c>
      <c r="JA34" s="540"/>
      <c r="JB34" s="549"/>
      <c r="JC34" s="579"/>
    </row>
    <row r="35" spans="1:263" ht="14.25" customHeight="1" x14ac:dyDescent="0.25">
      <c r="A35" s="736" t="s">
        <v>348</v>
      </c>
      <c r="B35" s="736"/>
      <c r="E35" s="190" t="s">
        <v>374</v>
      </c>
      <c r="F35" s="173"/>
      <c r="G35" s="736" t="s">
        <v>348</v>
      </c>
      <c r="H35" s="73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U35" s="539"/>
      <c r="IV35" s="549" t="s">
        <v>2658</v>
      </c>
      <c r="IW35" s="579">
        <v>6.37</v>
      </c>
      <c r="JB35" s="549"/>
      <c r="JC35" s="579"/>
    </row>
    <row r="36" spans="1:263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U36" s="540"/>
      <c r="IV36" s="549" t="s">
        <v>2672</v>
      </c>
      <c r="IW36" s="579">
        <v>104.35</v>
      </c>
      <c r="JB36" s="549"/>
      <c r="JC36" s="579"/>
    </row>
    <row r="37" spans="1:263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42" t="s">
        <v>1553</v>
      </c>
      <c r="DT37" s="743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549" t="s">
        <v>2672</v>
      </c>
      <c r="IW37" s="579">
        <v>51.81</v>
      </c>
      <c r="JB37" s="549"/>
      <c r="JC37" s="579"/>
    </row>
    <row r="38" spans="1:263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549" t="s">
        <v>2672</v>
      </c>
      <c r="IW38" s="579">
        <v>28.77</v>
      </c>
      <c r="JB38" s="549"/>
      <c r="JC38" s="579"/>
    </row>
    <row r="39" spans="1:263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V39" s="413"/>
      <c r="IW39" s="579"/>
      <c r="JB39" s="413"/>
      <c r="JC39" s="579"/>
    </row>
    <row r="40" spans="1:263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37" t="s">
        <v>1455</v>
      </c>
      <c r="DJ40" s="737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7" t="s">
        <v>2188</v>
      </c>
      <c r="II40" s="697"/>
      <c r="IJ40" s="422">
        <v>20</v>
      </c>
      <c r="IK40" s="347" t="s">
        <v>2444</v>
      </c>
      <c r="IN40" s="347" t="s">
        <v>2585</v>
      </c>
      <c r="IO40" s="360">
        <f>100+400+100+100</f>
        <v>700</v>
      </c>
      <c r="IP40" s="422">
        <v>6</v>
      </c>
      <c r="IQ40" s="589" t="s">
        <v>2244</v>
      </c>
      <c r="IV40" s="413"/>
      <c r="IW40" s="579"/>
      <c r="JB40" s="413"/>
      <c r="JC40" s="579"/>
    </row>
    <row r="41" spans="1:263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413"/>
      <c r="IW41" s="579"/>
      <c r="JB41" s="413"/>
      <c r="JC41" s="579"/>
    </row>
    <row r="42" spans="1:263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2580</v>
      </c>
      <c r="IV42" s="633"/>
      <c r="IW42" s="635"/>
      <c r="JB42" s="633"/>
      <c r="JC42" s="635"/>
    </row>
    <row r="43" spans="1:263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2" t="s">
        <v>2354</v>
      </c>
      <c r="HY43" s="662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207"/>
      <c r="IW43" s="364"/>
      <c r="JB43" s="207"/>
      <c r="JC43" s="364"/>
    </row>
    <row r="44" spans="1:263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2"/>
      <c r="HY44" s="662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207"/>
      <c r="IW44" s="207"/>
      <c r="JB44" s="207"/>
      <c r="JC44" s="207"/>
    </row>
    <row r="45" spans="1:263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1"/>
      <c r="IW45" s="207"/>
      <c r="JB45" s="411"/>
      <c r="JC45" s="207"/>
    </row>
    <row r="46" spans="1:263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4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2573</v>
      </c>
      <c r="IV46" s="207"/>
      <c r="IW46" s="349"/>
      <c r="JB46" s="207"/>
      <c r="JC46" s="349"/>
    </row>
    <row r="47" spans="1:263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46" t="s">
        <v>2110</v>
      </c>
      <c r="GZ47" s="367" t="s">
        <v>2128</v>
      </c>
      <c r="HA47" s="6">
        <v>6</v>
      </c>
      <c r="HX47" s="665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2579</v>
      </c>
      <c r="IV47" s="413"/>
      <c r="IW47" s="634"/>
      <c r="JB47" s="413"/>
      <c r="JC47" s="634"/>
    </row>
    <row r="48" spans="1:263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46"/>
      <c r="GZ48" t="s">
        <v>2104</v>
      </c>
      <c r="HA48" s="215">
        <v>670.00099999999998</v>
      </c>
      <c r="HX48" s="664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207"/>
      <c r="JB48" s="413"/>
      <c r="JC48" s="207"/>
    </row>
    <row r="49" spans="41:265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46"/>
      <c r="GZ49" s="215" t="s">
        <v>2135</v>
      </c>
      <c r="HX49" s="665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207"/>
      <c r="JB49" s="413"/>
      <c r="JC49" s="207"/>
    </row>
    <row r="50" spans="41:265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46"/>
      <c r="GZ50" t="s">
        <v>2103</v>
      </c>
      <c r="HA50" s="6">
        <v>50.000999999999998</v>
      </c>
      <c r="HF50" s="1"/>
      <c r="HX50" s="665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3"/>
      <c r="JB50" s="413"/>
    </row>
    <row r="51" spans="41:265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5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3"/>
      <c r="JB51" s="413"/>
    </row>
    <row r="52" spans="41:265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5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JB52" s="413"/>
    </row>
    <row r="53" spans="41:265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</row>
    <row r="54" spans="41:265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4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</row>
    <row r="55" spans="41:265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2581</v>
      </c>
      <c r="IQ55" s="635">
        <v>22.2</v>
      </c>
    </row>
    <row r="56" spans="41:265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5" t="s">
        <v>2396</v>
      </c>
      <c r="IE56">
        <v>8.8000000000000007</v>
      </c>
      <c r="IJ56" s="413" t="s">
        <v>2414</v>
      </c>
      <c r="IK56">
        <v>150</v>
      </c>
      <c r="IP56" s="633" t="s">
        <v>2584</v>
      </c>
      <c r="IQ56" s="364">
        <v>22.6</v>
      </c>
    </row>
    <row r="57" spans="41:265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6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</row>
    <row r="58" spans="41:265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65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65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4"/>
      <c r="IY60" s="403"/>
      <c r="JE60" s="403"/>
    </row>
    <row r="61" spans="41:265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65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65" x14ac:dyDescent="0.2">
      <c r="DG63" s="223" t="s">
        <v>1183</v>
      </c>
      <c r="DH63" s="309">
        <v>1500</v>
      </c>
      <c r="IP63" s="413"/>
    </row>
    <row r="64" spans="41:265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6">
    <mergeCell ref="IZ21:JA21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2023-02-23T00:12:07Z</dcterms:modified>
</cp:coreProperties>
</file>