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CA1C2D3-28A7-4675-8FA7-2A472CCCB6F8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cmp$park`" sheetId="47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28" i="32" l="1"/>
  <c r="LE8" i="32"/>
  <c r="LE41" i="32"/>
  <c r="LE21" i="32"/>
  <c r="LE30" i="32" l="1"/>
  <c r="LE7" i="32" l="1"/>
  <c r="LE38" i="32"/>
  <c r="LE31" i="32"/>
  <c r="LE54" i="32"/>
  <c r="LE37" i="32"/>
  <c r="LG29" i="32"/>
  <c r="LC45" i="32" l="1"/>
  <c r="LE33" i="32"/>
  <c r="LE17" i="32"/>
  <c r="LE14" i="32"/>
  <c r="LC40" i="32" l="1"/>
  <c r="LE51" i="32"/>
  <c r="LC18" i="32" l="1"/>
  <c r="LC39" i="32" l="1"/>
  <c r="LC22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9" i="32"/>
  <c r="LC2" i="32" s="1"/>
  <c r="X35" i="44" l="1"/>
  <c r="X37" i="44" s="1"/>
  <c r="LC43" i="32"/>
  <c r="LC41" i="32"/>
  <c r="LG17" i="32"/>
  <c r="LG2" i="32" s="1"/>
  <c r="LC38" i="32"/>
  <c r="LE43" i="32"/>
  <c r="LE5" i="32" s="1"/>
  <c r="LC42" i="32" l="1"/>
  <c r="LC44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<sst xmlns="http://schemas.openxmlformats.org/spreadsheetml/2006/main" count="7792" uniqueCount="3213">
  <si>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</si>
  <si>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</si>
  <si>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</si>
  <si>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</si>
  <si>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</si>
  <si>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</si>
  <si>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</si>
  <si>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</si>
  <si>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</si>
  <si>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</si>
  <si>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</si>
  <si>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</si>
  <si>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</si>
  <si>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</si>
  <si>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</si>
  <si>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</si>
  <si>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</si>
  <si>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</si>
  <si>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</si>
  <si>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</si>
  <si>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</si>
  <si>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</si>
  <si>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</si>
  <si>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</si>
  <si>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</si>
  <si>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</si>
  <si>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</si>
  <si>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</si>
  <si>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</si>
  <si>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</si>
  <si>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</si>
  <si>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</si>
  <si>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</si>
  <si>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</si>
  <si>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</si>
  <si>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</si>
  <si>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</si>
  <si>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</si>
  <si>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</si>
  <si>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</si>
  <si>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</si>
  <si>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</si>
  <si>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</si>
  <si>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</si>
  <si>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</si>
  <si>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</si>
  <si>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</si>
  <si>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</si>
  <si>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</si>
  <si>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</si>
  <si>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</si>
  <si>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</si>
  <si>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</si>
  <si>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</si>
  <si>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</si>
  <si>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</si>
  <si>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</si>
  <si>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</si>
  <si>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</si>
  <si>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</si>
  <si>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</si>
  <si>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</si>
  <si>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</si>
  <si>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</si>
  <si>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</si>
  <si>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</si>
  <si>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</si>
  <si>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</si>
  <si>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</si>
  <si>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</si>
  <si>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</si>
  <si>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</si>
  <si>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</si>
  <si>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</si>
  <si>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</si>
  <si>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</si>
  <si>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</si>
  <si>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</si>
  <si>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</si>
  <si>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</si>
  <si>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</si>
  <si>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</si>
  <si>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</si>
  <si>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</si>
  <si>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</si>
  <si>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</si>
  <si>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</si>
  <si>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</si>
  <si>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</si>
  <si>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</si>
  <si>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</si>
  <si>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</si>
  <si>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</si>
  <si>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</si>
  <si>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</si>
  <si>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</si>
  <si>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</si>
  <si>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</si>
  <si>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</si>
  <si>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</si>
  <si>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</si>
  <si>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</si>
  <si>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</si>
  <si>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</si>
  <si>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</si>
  <si>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</si>
  <si>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</si>
  <si>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</si>
  <si>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</si>
  <si>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</si>
  <si>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</si>
  <si>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</si>
  <si>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</si>
  <si>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</si>
  <si>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</si>
  <si>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</si>
  <si>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</si>
  <si>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</si>
  <si>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</si>
  <si>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</si>
  <si>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</si>
  <si>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</si>
  <si>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</si>
  <si>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</si>
  <si>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</si>
  <si>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</si>
  <si>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</si>
  <si>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</si>
  <si>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</si>
  <si>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</si>
  <si>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</si>
  <si>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</si>
  <si>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</si>
  <si>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</si>
  <si>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</si>
  <si>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</si>
  <si>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</si>
  <si>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</si>
  <si>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</si>
  <si>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</si>
  <si>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</si>
  <si>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</si>
  <si>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</si>
  <si>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</si>
  <si>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</si>
  <si>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</si>
  <si>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</si>
  <si>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</si>
  <si>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</si>
  <si>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</si>
  <si>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</si>
  <si>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</si>
  <si>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</si>
  <si>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</si>
  <si>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</si>
  <si>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</si>
  <si>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</si>
  <si>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</si>
  <si>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</si>
  <si>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</si>
  <si>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</si>
  <si>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</si>
  <si>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</si>
  <si>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</si>
  <si>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</si>
  <si>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</si>
  <si>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</si>
  <si>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</si>
  <si>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</si>
  <si>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</si>
  <si>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</si>
  <si>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</si>
  <si>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</si>
  <si>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</si>
  <si>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</si>
  <si>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</si>
  <si>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</si>
  <si>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</si>
  <si>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</si>
  <si>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</si>
  <si>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</si>
  <si>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</si>
  <si>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</si>
  <si>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</si>
  <si>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</si>
  <si>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</si>
  <si>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</si>
  <si>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</si>
  <si>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</si>
  <si>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</si>
  <si>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</si>
  <si>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</si>
  <si>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</si>
  <si>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</si>
  <si>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</si>
  <si>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</si>
  <si>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</si>
  <si>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</si>
  <si>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</si>
  <si>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</si>
  <si>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</si>
  <si>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</si>
  <si>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</si>
  <si>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</si>
  <si>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</si>
  <si>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</si>
  <si>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</si>
  <si>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</si>
  <si>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</si>
  <si>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</si>
  <si>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</si>
  <si>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</si>
  <si>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</si>
  <si>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</si>
  <si>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</si>
  <si>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</si>
  <si>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</si>
  <si>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</si>
  <si>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</si>
  <si>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</si>
  <si>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</si>
  <si>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</si>
  <si>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</si>
  <si>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</si>
  <si>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</si>
  <si>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</si>
  <si>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</si>
  <si>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</si>
  <si>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</si>
  <si>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</si>
  <si>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</si>
  <si>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</si>
  <si>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</si>
  <si>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</si>
  <si>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</si>
  <si>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</si>
  <si>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</si>
  <si>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</si>
  <si>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</si>
  <si>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</si>
  <si>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</si>
  <si>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</si>
  <si>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</si>
  <si>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</si>
  <si>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</si>
  <si>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</si>
  <si>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</si>
  <si>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</si>
  <si>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</si>
  <si>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</si>
  <si>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</si>
  <si>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</si>
  <si>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</si>
  <si>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</si>
  <si>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</si>
  <si>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</si>
  <si>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</si>
  <si>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</si>
  <si>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</si>
  <si>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</si>
  <si>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</si>
  <si>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</si>
  <si>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</si>
  <si>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</si>
  <si>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</si>
  <si>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</si>
  <si>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</si>
  <si>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</si>
  <si>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</si>
  <si>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</si>
  <si>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</si>
  <si>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</si>
  <si>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</si>
  <si>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</si>
  <si>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</si>
  <si>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</si>
  <si>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</si>
  <si>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</si>
  <si>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</si>
  <si>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</si>
  <si>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</si>
  <si>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</si>
  <si>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</si>
  <si>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</si>
  <si>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</si>
  <si>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</si>
  <si>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</si>
  <si>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</si>
  <si>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</si>
  <si>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</si>
  <si>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</si>
  <si>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</si>
  <si>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</si>
  <si>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</si>
  <si>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</si>
  <si>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</si>
  <si>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</si>
  <si>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</si>
  <si>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</si>
  <si>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</si>
  <si>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</si>
  <si>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</si>
  <si>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</si>
  <si>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</si>
  <si>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</si>
  <si>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</si>
  <si>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</si>
  <si>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</si>
  <si>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</si>
  <si>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</si>
  <si>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</si>
  <si>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</si>
  <si>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</si>
  <si>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</si>
  <si>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</si>
  <si>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</si>
  <si>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</si>
  <si>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</si>
  <si>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</si>
  <si>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</si>
  <si>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</si>
  <si>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</si>
  <si>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</si>
  <si>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</si>
  <si>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</si>
  <si>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</si>
  <si>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</si>
  <si>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</si>
  <si>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</si>
  <si>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</si>
  <si>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</si>
  <si>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</si>
  <si>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</si>
  <si>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</si>
  <si>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</si>
  <si>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</si>
  <si>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</si>
  <si>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</si>
  <si>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</si>
  <si>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</si>
  <si>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</si>
  <si>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</si>
  <si>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</si>
  <si>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</si>
  <si>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</si>
  <si>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</si>
  <si>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</si>
  <si>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</si>
  <si>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</si>
  <si>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</si>
  <si>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</si>
  <si>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</si>
  <si>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</si>
  <si>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</si>
  <si>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</si>
  <si>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</si>
  <si>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</si>
  <si>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</si>
  <si>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</si>
  <si>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</si>
  <si>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</si>
  <si>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</si>
  <si>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</si>
  <si>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</si>
  <si>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</si>
  <si>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</si>
  <si>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</si>
  <si>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</si>
  <si>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</si>
  <si>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</si>
  <si>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</si>
  <si>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</si>
  <si>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</si>
  <si>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</si>
  <si>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</si>
  <si>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</si>
  <si>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</si>
  <si>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</si>
  <si>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</si>
  <si>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</si>
  <si>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</si>
  <si>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</si>
  <si>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</si>
  <si>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</si>
  <si>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</si>
  <si>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</si>
  <si>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</si>
  <si>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</si>
  <si>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</si>
  <si>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</si>
  <si>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</si>
  <si>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</si>
  <si>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</si>
  <si>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</si>
  <si>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</si>
  <si>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</si>
  <si>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</si>
  <si>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</si>
  <si>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</si>
  <si>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</si>
  <si>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</si>
  <si>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</si>
  <si>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</si>
  <si>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</si>
  <si>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</si>
  <si>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</si>
  <si>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</si>
  <si>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</si>
  <si>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</si>
  <si>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</si>
  <si>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</si>
  <si>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</si>
  <si>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</si>
  <si>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</si>
  <si>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</si>
  <si>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</si>
  <si>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</si>
  <si>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</si>
  <si>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</si>
  <si>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</si>
  <si>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</si>
  <si>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</si>
  <si>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</si>
  <si>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</si>
  <si>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</si>
  <si>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</si>
  <si>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</si>
  <si>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</si>
  <si>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</si>
  <si>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</si>
  <si>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</si>
  <si>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</si>
  <si>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</si>
  <si>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</si>
  <si>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</si>
  <si>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</si>
  <si>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</si>
  <si>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</si>
  <si>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</si>
  <si>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</si>
  <si>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</si>
  <si>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</si>
  <si>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</si>
  <si>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</si>
  <si>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</si>
  <si>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</si>
  <si>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</si>
  <si>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</si>
  <si>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</si>
  <si>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</si>
  <si>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</si>
  <si>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</si>
  <si>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</si>
  <si>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</si>
  <si>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</si>
  <si>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</si>
  <si>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</si>
  <si>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</si>
  <si>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</si>
  <si>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</si>
  <si>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</si>
  <si>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</si>
  <si>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</si>
  <si>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</si>
  <si>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</si>
  <si>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</si>
  <si>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</si>
  <si>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</si>
  <si>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</si>
  <si>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</si>
  <si>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</si>
  <si>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</si>
  <si>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</si>
  <si>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</si>
  <si>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</si>
  <si>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</si>
  <si>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</si>
  <si>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</si>
  <si>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</si>
  <si>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</si>
  <si>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</si>
  <si>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</si>
  <si>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</si>
  <si>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</si>
  <si>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</si>
  <si>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</si>
  <si>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</si>
  <si>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</si>
  <si>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</si>
  <si>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</si>
  <si>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</si>
  <si>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</si>
  <si>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</si>
  <si>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</si>
  <si>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</si>
  <si>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</si>
  <si>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</si>
  <si>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</si>
  <si>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</si>
  <si>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</si>
  <si>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</si>
  <si>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</si>
  <si>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</si>
  <si>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</si>
  <si>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</si>
  <si>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</si>
  <si>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</si>
  <si>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</si>
  <si>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</si>
  <si>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</si>
  <si>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</si>
  <si>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</si>
  <si>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</si>
  <si>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</si>
  <si>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</si>
  <si>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</si>
  <si>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</si>
  <si>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</si>
  <si>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</si>
  <si>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</si>
  <si>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</si>
  <si>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</si>
  <si>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</si>
  <si>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</si>
  <si>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</si>
  <si>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</si>
  <si>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</si>
  <si>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</si>
  <si>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</si>
  <si>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</si>
  <si>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</si>
  <si>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</si>
  <si>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</si>
  <si>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</si>
  <si>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</si>
  <si>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</si>
  <si>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</si>
  <si>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</si>
  <si>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</si>
  <si>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</si>
  <si>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</si>
  <si>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</si>
  <si>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</si>
  <si>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</si>
  <si>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</si>
  <si>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</si>
  <si>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</si>
  <si>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</si>
  <si>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</si>
  <si>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</si>
  <si>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</si>
  <si>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</si>
  <si>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</si>
  <si>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</si>
  <si>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</si>
  <si>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</si>
  <si>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</si>
  <si>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</si>
  <si>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</si>
  <si>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</si>
  <si>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</si>
  <si>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</si>
  <si>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</si>
  <si>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</si>
  <si>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</si>
  <si>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</si>
  <si>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</si>
  <si>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</si>
  <si>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</si>
  <si>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</si>
  <si>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</si>
  <si>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</si>
  <si>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</si>
  <si>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</si>
  <si>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</si>
  <si>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</si>
  <si>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</si>
  <si>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</si>
  <si>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</si>
  <si>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</si>
  <si>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</si>
  <si>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</si>
  <si>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</si>
  <si>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</si>
  <si>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</si>
  <si>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</si>
  <si>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</si>
  <si>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</si>
  <si>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</si>
  <si>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</si>
  <si>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</si>
  <si>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</si>
  <si>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</si>
  <si>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</si>
  <si>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</si>
  <si>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</si>
  <si>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</si>
  <si>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</si>
  <si>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</si>
  <si>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</si>
  <si>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</si>
  <si>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</si>
  <si>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</si>
  <si>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</si>
  <si>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</si>
  <si>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</si>
  <si>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</si>
  <si>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</si>
  <si>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</si>
  <si>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</si>
  <si>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</si>
  <si>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</si>
  <si>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</si>
  <si>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</si>
  <si>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</si>
  <si>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</si>
  <si>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</si>
  <si>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</si>
  <si>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</si>
  <si>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</si>
  <si>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</si>
  <si>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</si>
  <si>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</si>
  <si>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</si>
  <si>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</si>
  <si>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</si>
  <si>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</si>
  <si>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</si>
  <si>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</si>
  <si>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</si>
  <si>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</si>
  <si>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</si>
  <si>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</si>
  <si>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</si>
  <si>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</si>
  <si>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</si>
  <si>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</si>
  <si>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</si>
  <si>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</si>
  <si>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</si>
  <si>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</si>
  <si>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</si>
  <si>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</si>
  <si>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</si>
  <si>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</si>
  <si>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</si>
  <si>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</si>
  <si>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</si>
  <si>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</si>
  <si>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</si>
  <si>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</si>
  <si>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</si>
  <si>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</si>
  <si>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</si>
  <si>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</si>
  <si>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</si>
  <si>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</si>
  <si>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</si>
  <si>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</si>
  <si>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</si>
  <si>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</si>
  <si>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</si>
  <si>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</si>
  <si>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</si>
  <si>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</si>
  <si>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</si>
  <si>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</si>
  <si>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</si>
  <si>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</si>
  <si>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</si>
  <si>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</si>
  <si>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</si>
  <si>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</si>
  <si>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</si>
  <si>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</si>
  <si>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</si>
  <si>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</si>
  <si>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</si>
  <si>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</si>
  <si>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</si>
  <si>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</si>
  <si>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</si>
  <si>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</si>
  <si>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</si>
  <si>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</si>
  <si>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</si>
  <si>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</si>
  <si>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</si>
  <si>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</si>
  <si>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</si>
  <si>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</si>
  <si>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</si>
  <si>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</si>
  <si>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</si>
  <si>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</si>
  <si>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</si>
  <si>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</si>
  <si>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</si>
  <si>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</si>
  <si>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</si>
  <si>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</si>
  <si>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</si>
  <si>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</si>
  <si>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</si>
  <si>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</si>
  <si>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</si>
  <si>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</si>
  <si>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</si>
  <si>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</si>
  <si>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</si>
  <si>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</si>
  <si>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</si>
  <si>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</si>
  <si>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</si>
  <si>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</si>
  <si>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</si>
  <si>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</si>
  <si>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</si>
  <si>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</si>
  <si>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</si>
  <si>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</si>
  <si>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</si>
  <si>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</si>
  <si>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</si>
  <si>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</si>
  <si>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</si>
  <si>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</si>
  <si>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</si>
  <si>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</si>
  <si>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</si>
  <si>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</si>
  <si>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</si>
  <si>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</si>
  <si>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</si>
  <si>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</si>
  <si>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</si>
  <si>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</si>
  <si>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</si>
  <si>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</si>
  <si>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</si>
  <si>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</si>
  <si>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</si>
  <si>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</si>
  <si>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</si>
  <si>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</si>
  <si>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</si>
  <si>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</si>
  <si>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</si>
  <si>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</si>
  <si>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</si>
  <si>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</si>
  <si>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</si>
  <si>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</si>
  <si>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</si>
  <si>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</si>
  <si>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</si>
  <si>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</si>
  <si>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</si>
  <si>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</si>
  <si>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</si>
  <si>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</si>
  <si>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</si>
  <si>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</si>
  <si>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</si>
  <si>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</si>
  <si>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</si>
  <si>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</si>
  <si>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</si>
  <si>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</si>
  <si>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</si>
  <si>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</si>
  <si>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</si>
  <si>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</si>
  <si>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</si>
  <si>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</si>
  <si>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</si>
  <si>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</si>
  <si>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</si>
  <si>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</si>
  <si>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</si>
  <si>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</si>
  <si>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</si>
  <si>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</si>
  <si>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</si>
  <si>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</si>
  <si>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</si>
  <si>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</si>
  <si>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</si>
  <si>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</si>
  <si>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</si>
  <si>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</si>
  <si>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</si>
  <si>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</si>
  <si>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</si>
  <si>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</si>
  <si>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</si>
  <si>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</si>
  <si>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</si>
  <si>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</si>
  <si>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</si>
  <si>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</si>
  <si>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</si>
  <si>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</si>
  <si>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</si>
  <si>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</si>
  <si>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</si>
  <si>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</si>
  <si>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</si>
  <si>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</si>
  <si>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</si>
  <si>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</si>
  <si>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</si>
  <si>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</si>
  <si>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</si>
  <si>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</si>
  <si>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</si>
  <si>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</si>
  <si>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</si>
  <si>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</si>
  <si>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</si>
  <si>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</si>
  <si>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</si>
  <si>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</si>
  <si>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</si>
  <si>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</si>
  <si>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</si>
  <si>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</si>
  <si>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</si>
  <si>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</si>
  <si>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</si>
  <si>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</si>
  <si>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</si>
  <si>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</si>
  <si>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</si>
  <si>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</si>
  <si>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</si>
  <si>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</si>
  <si>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</si>
  <si>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</si>
  <si>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</si>
  <si>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</si>
  <si>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</si>
  <si>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</si>
  <si>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</si>
  <si>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</si>
  <si>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</si>
  <si>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</si>
  <si>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</si>
  <si>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</si>
  <si>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</si>
  <si>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</si>
  <si>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</si>
  <si>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</si>
  <si>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</si>
  <si>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</si>
  <si>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</si>
  <si>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</si>
  <si>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</si>
  <si>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</si>
  <si>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</si>
  <si>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</si>
  <si>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</si>
  <si>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</si>
  <si>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</si>
  <si>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</si>
  <si>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</si>
  <si>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</si>
  <si>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</si>
  <si>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</si>
  <si>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</si>
  <si>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</si>
  <si>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</si>
  <si>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</si>
  <si>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</si>
  <si>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</si>
  <si>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</si>
  <si>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</si>
  <si>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</si>
  <si>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</si>
  <si>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</si>
  <si>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</si>
  <si>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</si>
  <si>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</si>
  <si>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</si>
  <si>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</si>
  <si>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</si>
  <si>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</si>
  <si>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</si>
  <si>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</si>
  <si>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</si>
  <si>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</si>
  <si>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</si>
  <si>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</si>
  <si>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</si>
  <si>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</si>
  <si>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</si>
  <si>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</si>
  <si>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</si>
  <si>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</si>
  <si>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</si>
  <si>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</si>
  <si>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</si>
  <si>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</si>
  <si>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</si>
  <si>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</si>
  <si>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</si>
  <si>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</si>
  <si>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</si>
  <si>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</si>
  <si>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</si>
  <si>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</si>
  <si>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</si>
  <si>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</si>
  <si>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</si>
  <si>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</si>
  <si>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</si>
  <si>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</si>
  <si>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</si>
  <si>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</si>
  <si>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</si>
  <si>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</si>
  <si>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</si>
  <si>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</si>
  <si>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</si>
  <si>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</si>
  <si>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</si>
  <si>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</si>
  <si>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</si>
  <si>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</si>
  <si>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</si>
  <si>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</si>
  <si>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</si>
  <si>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</si>
  <si>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</si>
  <si>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</si>
  <si>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</si>
  <si>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</si>
  <si>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</si>
  <si>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</si>
  <si>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</si>
  <si>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</si>
  <si>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</si>
  <si>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</si>
  <si>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</si>
  <si>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</si>
  <si>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</si>
  <si>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</si>
  <si>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</si>
  <si>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</si>
  <si>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</si>
  <si>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</si>
  <si>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</si>
  <si>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</si>
  <si>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</si>
  <si>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</si>
  <si>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</si>
  <si>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</si>
  <si>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</si>
  <si>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</si>
  <si>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</si>
  <si>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</si>
  <si>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</si>
  <si>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</si>
  <si>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</si>
  <si>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</si>
  <si>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</si>
  <si>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</si>
  <si>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</si>
  <si>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</si>
  <si>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</si>
  <si>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</si>
  <si>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</si>
  <si>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</si>
  <si>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</si>
  <si>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</si>
  <si>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</si>
  <si>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</si>
  <si>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</si>
  <si>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</si>
  <si>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</si>
  <si>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</si>
  <si>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</si>
  <si>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</si>
  <si>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</si>
  <si>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</si>
  <si>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</si>
  <si>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</si>
  <si>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</si>
  <si>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</si>
  <si>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</si>
  <si>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</si>
  <si>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</si>
  <si>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</si>
  <si>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</si>
  <si>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</si>
  <si>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</si>
  <si>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</si>
  <si>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</si>
  <si>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</si>
  <si>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</si>
  <si>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</si>
  <si>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</si>
  <si>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</si>
  <si>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</si>
  <si>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</si>
  <si>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</si>
  <si>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</si>
  <si>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</si>
  <si>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</si>
  <si>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</si>
  <si>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</si>
  <si>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</si>
  <si>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</si>
  <si>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</si>
  <si>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</si>
  <si>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</si>
  <si>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</si>
  <si>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</si>
  <si>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</si>
  <si>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</si>
  <si>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</si>
  <si>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</si>
  <si>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</si>
  <si>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</si>
  <si>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</si>
  <si>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</si>
  <si>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</si>
  <si>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</si>
  <si>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</si>
  <si>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</si>
  <si>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</si>
  <si>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</si>
  <si>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</si>
  <si>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</si>
  <si>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</si>
  <si>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</si>
  <si>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</si>
  <si>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</si>
  <si>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</si>
  <si>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</si>
  <si>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</si>
  <si>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</si>
  <si>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</si>
  <si>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</si>
  <si>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</si>
  <si>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</si>
  <si>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</si>
  <si>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</si>
  <si>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</si>
  <si>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</si>
  <si>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</si>
  <si>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</si>
  <si>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</si>
  <si>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</si>
  <si>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</si>
  <si>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</si>
  <si>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</si>
  <si>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</si>
  <si>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</si>
  <si>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</si>
  <si>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</si>
  <si>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</si>
  <si>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</si>
  <si>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</si>
  <si>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</si>
  <si>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</si>
  <si>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</si>
  <si>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</si>
  <si>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</si>
  <si>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</si>
  <si>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</si>
  <si>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</si>
  <si>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</si>
  <si>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</si>
  <si>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</si>
  <si>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</si>
  <si>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</si>
  <si>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</si>
  <si>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</si>
  <si>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</si>
  <si>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</si>
  <si>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</si>
  <si>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</si>
  <si>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</si>
  <si>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</si>
  <si>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</si>
  <si>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</si>
  <si>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</si>
  <si>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</si>
  <si>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</si>
  <si>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</si>
  <si>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</si>
  <si>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</si>
  <si>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</si>
  <si>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</si>
  <si>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</si>
  <si>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</si>
  <si>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</si>
  <si>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</si>
  <si>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</si>
  <si>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</si>
  <si>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</si>
  <si>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</si>
  <si>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</si>
  <si>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</si>
  <si>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</si>
  <si>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</si>
  <si>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</si>
  <si>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</si>
  <si>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</si>
  <si>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</si>
  <si>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</si>
  <si>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</si>
  <si>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</si>
  <si>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</si>
  <si>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</si>
  <si>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</si>
  <si>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</si>
  <si>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</si>
  <si>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</si>
  <si>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</si>
  <si>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</si>
  <si>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</si>
  <si>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</si>
  <si>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</si>
  <si>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</si>
  <si>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</si>
  <si>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</si>
  <si>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</si>
  <si>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</si>
  <si>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</si>
  <si>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</si>
  <si>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</si>
  <si>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</si>
  <si>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</si>
  <si>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</si>
  <si>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</si>
  <si>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</si>
  <si>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</si>
  <si>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</si>
  <si>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</si>
  <si>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</si>
  <si>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</si>
  <si>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</si>
  <si>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</si>
  <si>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</si>
  <si>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</si>
  <si>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</si>
  <si>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</si>
  <si>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</si>
  <si>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</si>
  <si>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</si>
  <si>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</si>
  <si>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</si>
  <si>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</si>
  <si>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</si>
  <si>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</si>
  <si>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</si>
  <si>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</si>
  <si>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</si>
  <si>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</si>
  <si>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</si>
  <si>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</si>
  <si>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</si>
  <si>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</si>
  <si>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</si>
  <si>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</si>
  <si>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</si>
  <si>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</si>
  <si>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</si>
  <si>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</si>
  <si>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</si>
  <si>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</si>
  <si>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</si>
  <si>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</si>
  <si>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</si>
  <si>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</si>
  <si>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</si>
  <si>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</si>
  <si>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</si>
  <si>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</si>
  <si>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</si>
  <si>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</si>
  <si>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</si>
  <si>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</si>
  <si>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</si>
  <si>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</si>
  <si>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</si>
  <si>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</si>
  <si>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</si>
  <si>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</si>
  <si>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</si>
  <si>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</si>
  <si>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</si>
  <si>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</si>
  <si>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</si>
  <si>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</si>
  <si>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</si>
  <si>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</si>
  <si>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</si>
  <si>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</si>
  <si>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</si>
  <si>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</si>
  <si>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</si>
  <si>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</si>
  <si>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</si>
  <si>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</si>
  <si>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</si>
  <si>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</si>
  <si>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</si>
  <si>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</si>
  <si>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</si>
  <si>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</si>
  <si>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</si>
  <si>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</si>
  <si>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</si>
  <si>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</si>
  <si>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</si>
  <si>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</si>
  <si>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</si>
  <si>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</si>
  <si>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</si>
  <si>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</si>
  <si>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</si>
  <si>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</si>
  <si>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</si>
  <si>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</si>
  <si>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</si>
  <si>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</si>
  <si>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</si>
  <si>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</si>
  <si>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</si>
  <si>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</si>
  <si>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</si>
  <si>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</si>
  <si>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</si>
  <si>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</si>
  <si>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</si>
  <si>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</si>
  <si>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</si>
  <si>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</si>
  <si>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</si>
  <si>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</si>
  <si>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</si>
  <si>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</si>
  <si>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</si>
  <si>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</si>
  <si>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</si>
  <si>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</si>
  <si>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</si>
  <si>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</si>
  <si>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</si>
  <si>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</si>
  <si>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</si>
  <si>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</si>
  <si>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</si>
  <si>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</si>
  <si>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</si>
  <si>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</si>
  <si>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</si>
  <si>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</si>
  <si>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</si>
  <si>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</si>
  <si>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</si>
  <si>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</si>
  <si>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</si>
  <si>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</si>
  <si>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</si>
  <si>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</si>
  <si>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</si>
  <si>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</si>
  <si>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</si>
  <si>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</si>
  <si>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</si>
  <si>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</si>
  <si>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</si>
  <si>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</si>
  <si>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</si>
  <si>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</si>
  <si>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</si>
  <si>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</si>
  <si>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</si>
  <si>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</si>
  <si>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</si>
  <si>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</si>
  <si>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</si>
  <si>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</si>
  <si>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</si>
  <si>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</si>
  <si>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</si>
  <si>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</si>
  <si>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</si>
  <si>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</si>
  <si>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</si>
  <si>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</si>
  <si>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</si>
  <si>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</si>
  <si>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</si>
  <si>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</si>
  <si>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</si>
  <si>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</si>
  <si>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</si>
  <si>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</si>
  <si>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</si>
  <si>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</si>
  <si>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</si>
  <si>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</si>
  <si>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</si>
  <si>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</si>
  <si>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</si>
  <si>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</si>
  <si>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</si>
  <si>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</si>
  <si>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</si>
  <si>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</si>
  <si>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</si>
  <si>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</si>
  <si>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</si>
  <si>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</si>
  <si>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</si>
  <si>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</si>
  <si>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</si>
  <si>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</si>
  <si>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</si>
  <si>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</si>
  <si>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</si>
  <si>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</si>
  <si>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</si>
  <si>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</si>
  <si>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</si>
  <si>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</si>
  <si>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</si>
  <si>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</si>
  <si>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</si>
  <si>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</si>
  <si>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</si>
  <si>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</si>
  <si>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</si>
  <si>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</si>
  <si>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</si>
  <si>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</si>
  <si>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</si>
  <si>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</si>
  <si>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</si>
  <si>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</si>
  <si>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</si>
  <si>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</si>
  <si>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</si>
  <si>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</si>
  <si>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</si>
  <si>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</si>
  <si>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</si>
  <si>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</si>
  <si>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</si>
  <si>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</si>
  <si>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</si>
  <si>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</si>
  <si>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</si>
  <si>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</si>
  <si>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</si>
  <si>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</si>
  <si>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</si>
  <si>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</si>
  <si>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</si>
  <si>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</si>
  <si>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</si>
  <si>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</si>
  <si>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</si>
  <si>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</si>
  <si>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</si>
  <si>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</si>
  <si>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</si>
  <si>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</si>
  <si>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</si>
  <si>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</si>
  <si>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</si>
  <si>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</si>
  <si>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</si>
  <si>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</si>
  <si>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</si>
  <si>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</si>
  <si>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</si>
  <si>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</si>
  <si>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</si>
  <si>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</si>
  <si>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</si>
  <si>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</si>
  <si>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</si>
  <si>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</si>
  <si>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</si>
  <si>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</si>
  <si>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</si>
  <si>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</si>
  <si>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</si>
  <si>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</si>
  <si>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</si>
  <si>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</si>
  <si>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</si>
  <si>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</si>
  <si>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</si>
  <si>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</si>
  <si>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</si>
  <si>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</si>
  <si>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</si>
  <si>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</si>
  <si>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</si>
  <si>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</si>
  <si>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</si>
  <si>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</si>
  <si>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</si>
  <si>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</si>
  <si>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</si>
  <si>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</si>
  <si>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</si>
  <si>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</si>
  <si>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</si>
  <si>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</si>
  <si>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</si>
  <si>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</si>
  <si>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</si>
  <si>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</si>
  <si>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</si>
  <si>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</si>
  <si>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</si>
  <si>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</si>
  <si>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</si>
  <si>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</si>
  <si>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</si>
  <si>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</si>
  <si>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</si>
  <si>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</si>
  <si>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</si>
  <si>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</si>
  <si>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</si>
  <si>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</si>
  <si>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</si>
  <si>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</si>
  <si>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</si>
  <si>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</si>
  <si>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</si>
  <si>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</si>
  <si>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</si>
  <si>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</si>
  <si>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</si>
  <si>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</si>
  <si>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</si>
  <si>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</si>
  <si>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</si>
  <si>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</si>
  <si>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</si>
  <si>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</si>
  <si>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</si>
  <si>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</si>
  <si>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</si>
  <si>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</si>
  <si>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</si>
  <si>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</si>
  <si>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</si>
  <si>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</si>
  <si>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</si>
  <si>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</si>
  <si>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</si>
  <si>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</si>
  <si>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</si>
  <si>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</si>
  <si>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</si>
  <si>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</si>
  <si>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</si>
  <si>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</si>
  <si>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</si>
  <si>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</si>
  <si>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</si>
  <si>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</si>
  <si>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</si>
  <si>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</si>
  <si>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</si>
  <si>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</si>
  <si>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</si>
  <si>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</si>
  <si>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</si>
  <si>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</si>
  <si>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</si>
  <si>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</si>
  <si>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</si>
  <si>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</si>
  <si>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</si>
  <si>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</si>
  <si>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</si>
  <si>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</si>
  <si>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</si>
  <si>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</si>
  <si>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</si>
  <si>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</si>
  <si>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</si>
  <si>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</si>
  <si>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</si>
  <si>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</si>
  <si>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</si>
  <si>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</si>
  <si>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</si>
  <si>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</si>
  <si>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</si>
  <si>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</si>
  <si>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</si>
  <si>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</si>
  <si>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</si>
  <si>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</si>
  <si>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</si>
  <si>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</si>
  <si>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</si>
  <si>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</si>
  <si>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</si>
  <si>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</si>
  <si>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</si>
  <si>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</si>
  <si>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</si>
  <si>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</si>
  <si>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</si>
  <si>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</si>
  <si>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</si>
  <si>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</si>
  <si>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</si>
  <si>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</si>
  <si>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</si>
  <si>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</si>
  <si>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</si>
  <si>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</si>
  <si>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</si>
  <si>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</si>
  <si>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</si>
  <si>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</si>
  <si>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</si>
  <si>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</si>
  <si>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</si>
  <si>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</si>
  <si>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</si>
  <si>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</si>
  <si>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</si>
  <si>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</si>
  <si>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</si>
  <si>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</si>
  <si>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</si>
  <si>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</si>
  <si>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</si>
  <si>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</si>
  <si>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</si>
  <si>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</si>
  <si>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</si>
  <si>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</si>
  <si>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</si>
  <si>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</si>
  <si>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</si>
  <si>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</si>
  <si>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</si>
  <si>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</si>
  <si>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</si>
  <si>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</si>
  <si>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</si>
  <si>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</si>
  <si>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</si>
  <si>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</si>
  <si>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</si>
  <si>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</si>
  <si>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</si>
  <si>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</si>
  <si>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</si>
  <si>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</si>
  <si>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</si>
  <si>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</si>
  <si>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</si>
  <si>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</si>
  <si>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</si>
  <si>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</si>
  <si>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</si>
  <si>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</si>
  <si>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</si>
  <si>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</si>
  <si>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</si>
  <si>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</si>
  <si>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</si>
  <si>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</si>
  <si>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</si>
  <si>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</si>
  <si>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</si>
  <si>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</si>
  <si>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</si>
  <si>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</si>
  <si>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</si>
  <si>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</si>
  <si>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</si>
  <si>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</si>
  <si>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</si>
  <si>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</si>
  <si>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</si>
  <si>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</si>
  <si>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</si>
  <si>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</si>
  <si>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</si>
  <si>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</si>
  <si>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</si>
  <si>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</si>
  <si>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</si>
  <si>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</si>
  <si>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</si>
  <si>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</si>
  <si>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</si>
  <si>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</si>
  <si>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</si>
  <si>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</si>
  <si>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</si>
  <si>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</si>
  <si>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</si>
  <si>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</si>
  <si>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</si>
  <si>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</si>
  <si>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</si>
  <si>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</si>
  <si>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</si>
  <si>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</si>
  <si>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</si>
  <si>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</si>
  <si>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</si>
  <si>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</si>
  <si>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</si>
  <si>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</si>
  <si>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</si>
  <si>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</si>
  <si>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</si>
  <si>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</si>
  <si>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</si>
  <si>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</si>
  <si>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</si>
  <si>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</si>
  <si>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</si>
  <si>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</si>
  <si>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</si>
  <si>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</si>
  <si>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</si>
  <si>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</si>
  <si>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</si>
  <si>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</si>
  <si>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</si>
  <si>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</si>
  <si>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</si>
  <si>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</si>
  <si>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</si>
  <si>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</si>
  <si>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</si>
  <si>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</si>
  <si>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</si>
  <si>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</si>
  <si>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</si>
  <si>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</si>
  <si>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</si>
  <si>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</si>
  <si>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</si>
  <si>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</si>
  <si>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</si>
  <si>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</si>
  <si>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</si>
  <si>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</si>
  <si>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</si>
  <si>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</si>
  <si>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</si>
  <si>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</si>
  <si>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</si>
  <si>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</si>
  <si>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</si>
  <si>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</si>
  <si>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</si>
  <si>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</si>
  <si>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</si>
  <si>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</si>
  <si>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</si>
  <si>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</si>
  <si>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</si>
  <si>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</si>
  <si>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</si>
  <si>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</si>
  <si>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</si>
  <si>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</si>
  <si>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</si>
  <si>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</si>
  <si>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</si>
  <si>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</si>
  <si>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</si>
  <si>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</si>
  <si>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</si>
  <si>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</si>
  <si>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</si>
  <si>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</si>
  <si>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</si>
  <si>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</si>
  <si>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</si>
  <si>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</si>
  <si>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</si>
  <si>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</si>
  <si>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</si>
  <si>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</si>
  <si>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</si>
  <si>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</si>
  <si>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</si>
  <si>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</si>
  <si>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</si>
  <si>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</si>
  <si>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</si>
  <si>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</si>
  <si>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</si>
  <si>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</si>
  <si>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</si>
  <si>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</si>
  <si>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</si>
  <si>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</si>
  <si>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</si>
  <si>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</si>
  <si>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</si>
  <si>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</si>
  <si>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</si>
  <si>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</si>
  <si>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</si>
  <si>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</si>
  <si>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</si>
  <si>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</si>
  <si>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</si>
  <si>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</si>
  <si>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</si>
  <si>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</si>
  <si>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</si>
  <si>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</si>
  <si>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</si>
  <si>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</si>
  <si>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</si>
  <si>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</si>
  <si>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</si>
  <si>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</si>
  <si>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</si>
  <si>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</si>
  <si>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</si>
  <si>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</si>
  <si>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</si>
  <si>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</si>
  <si>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</si>
  <si>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</si>
  <si>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</si>
  <si>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</si>
  <si>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</si>
  <si>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</si>
  <si>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</si>
  <si>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</si>
  <si>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</si>
  <si>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</si>
  <si>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</si>
  <si>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</si>
  <si>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</si>
  <si>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</si>
  <si>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</si>
  <si>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</si>
  <si>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</si>
  <si>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</si>
  <si>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</si>
  <si>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</si>
  <si>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</si>
  <si>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</si>
  <si>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</si>
  <si>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</si>
  <si>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</si>
  <si>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</si>
  <si>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</si>
  <si>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</si>
  <si>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</si>
  <si>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</si>
  <si>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</si>
  <si>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</si>
  <si>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</si>
  <si>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</si>
  <si>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</si>
  <si>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</si>
  <si>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</si>
  <si>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</si>
  <si>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</si>
  <si>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</si>
  <si>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</si>
  <si>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</si>
  <si>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</si>
  <si>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</si>
  <si>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</si>
  <si>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</si>
  <si>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</si>
  <si>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</si>
  <si>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</si>
  <si>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</si>
  <si>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</si>
  <si>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</si>
  <si>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</si>
  <si>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</si>
  <si>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</si>
  <si>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</si>
  <si>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</si>
  <si>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</si>
  <si>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</si>
  <si>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</si>
  <si>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</si>
  <si>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</si>
  <si>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</si>
  <si>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</si>
  <si>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</si>
  <si>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</si>
  <si>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</si>
  <si>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</si>
  <si>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</si>
  <si>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</si>
  <si>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</si>
  <si>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</si>
  <si>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</si>
  <si>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</si>
  <si>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</si>
  <si>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</si>
  <si>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</si>
  <si>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</si>
  <si>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</si>
  <si>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</si>
  <si>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</si>
  <si>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</si>
  <si>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</si>
  <si>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</si>
  <si>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</si>
  <si>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</si>
  <si>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</si>
  <si>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</si>
  <si>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</si>
  <si>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</si>
  <si>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</si>
  <si>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</si>
  <si>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</si>
  <si>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</si>
  <si>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</si>
  <si>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</si>
  <si>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</si>
  <si>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</si>
  <si>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</si>
  <si>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</si>
  <si>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</si>
  <si>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</si>
  <si>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</si>
  <si>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</si>
  <si>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</si>
  <si>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</si>
  <si>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</si>
  <si>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</si>
  <si>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</si>
  <si>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</si>
  <si>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</si>
  <si>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</si>
  <si>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</si>
  <si>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</si>
  <si>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</si>
  <si>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</si>
  <si>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</si>
  <si>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</si>
  <si>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</si>
  <si>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</si>
  <si>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</si>
  <si>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</si>
  <si>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</si>
  <si>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</si>
  <si>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</si>
  <si>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</si>
  <si>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</si>
  <si>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</si>
  <si>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</si>
  <si>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</si>
  <si>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</si>
  <si>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</si>
  <si>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</si>
  <si>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</si>
  <si>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</si>
  <si>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</si>
  <si>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</si>
  <si>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</si>
  <si>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</si>
  <si>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</si>
  <si>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</si>
  <si>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</si>
  <si>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</si>
  <si>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</si>
  <si>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</si>
  <si>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</si>
  <si>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</si>
  <si>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</si>
  <si>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</si>
  <si>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</si>
  <si>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</si>
  <si>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</si>
  <si>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</si>
  <si>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</si>
  <si>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</si>
  <si>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</si>
  <si>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</si>
  <si>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</si>
  <si>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</si>
  <si>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</si>
  <si>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</si>
  <si>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</si>
  <si>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</si>
  <si>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</si>
  <si>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</si>
  <si>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</si>
  <si>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</si>
  <si>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</si>
  <si>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</si>
  <si>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</si>
  <si>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</si>
  <si>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</si>
  <si>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</si>
  <si>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</si>
  <si>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</si>
  <si>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</si>
  <si>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</si>
  <si>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</si>
  <si>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</si>
  <si>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</si>
  <si>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</si>
  <si>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</si>
  <si>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</si>
  <si>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</si>
  <si>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</si>
  <si>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</si>
  <si>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</si>
  <si>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</si>
  <si>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</si>
  <si>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</si>
  <si>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</si>
  <si>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</si>
  <si>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</si>
  <si>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</si>
  <si>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</si>
  <si>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</si>
  <si>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</si>
  <si>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</si>
  <si>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</si>
  <si>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</si>
  <si>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</si>
  <si>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</si>
  <si>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</si>
  <si>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</si>
  <si>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</si>
  <si>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</si>
  <si>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</si>
  <si>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</si>
  <si>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</si>
  <si>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</si>
  <si>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</si>
  <si>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</si>
  <si>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</si>
  <si>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</si>
  <si>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</si>
  <si>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</si>
  <si>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</si>
  <si>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</si>
  <si>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</si>
  <si>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</si>
  <si>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</si>
  <si>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</si>
  <si>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</si>
  <si>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</si>
  <si>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</si>
  <si>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</si>
  <si>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</si>
  <si>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</si>
  <si>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</si>
  <si>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</si>
  <si>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</si>
  <si>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</si>
  <si>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</si>
  <si>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</si>
  <si>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</si>
  <si>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</si>
  <si>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</si>
  <si>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</si>
  <si>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</si>
  <si>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</si>
  <si>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</si>
  <si>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</si>
  <si>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</si>
  <si>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</si>
  <si>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</si>
  <si>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</si>
  <si>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</si>
  <si>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</si>
  <si>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</si>
  <si>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</si>
  <si>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</si>
  <si>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</si>
  <si>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</si>
  <si>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</si>
  <si>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</si>
  <si>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</si>
  <si>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</si>
  <si>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</si>
  <si>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</si>
  <si>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</si>
  <si>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</si>
  <si>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</si>
  <si>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</si>
  <si>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</si>
  <si>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</si>
  <si>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</si>
  <si>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</si>
  <si>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</si>
  <si>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</si>
  <si>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</si>
  <si>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</si>
  <si>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</si>
  <si>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</si>
  <si>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</si>
  <si>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</si>
  <si>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</si>
  <si>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</si>
  <si>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</si>
  <si>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</si>
  <si>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</si>
  <si>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</si>
  <si>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</si>
  <si>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</si>
  <si>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</si>
  <si>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</si>
  <si>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</si>
  <si>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</si>
  <si>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</si>
  <si>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</si>
  <si>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</si>
  <si>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</si>
  <si>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</si>
  <si>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</si>
  <si>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</si>
  <si>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</si>
  <si>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</si>
  <si>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</si>
  <si>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</si>
  <si>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</si>
  <si>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</si>
  <si>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</si>
  <si>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</si>
  <si>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</si>
  <si>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</si>
  <si>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</si>
  <si>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</si>
  <si>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</si>
  <si>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</si>
  <si>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</si>
  <si>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</si>
  <si>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</si>
  <si>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</si>
  <si>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</si>
  <si>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</si>
  <si>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</si>
  <si>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</si>
  <si>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</si>
  <si>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</si>
  <si>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</si>
  <si>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</si>
  <si>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</si>
  <si>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</si>
  <si>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</si>
  <si>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</si>
  <si>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</si>
  <si>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</si>
  <si>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</si>
  <si>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</si>
  <si>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</si>
  <si>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</si>
  <si>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</si>
  <si>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</si>
  <si>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</si>
  <si>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</si>
  <si>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</si>
  <si>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</si>
  <si>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</si>
  <si>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</si>
  <si>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</si>
  <si>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</si>
  <si>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</si>
  <si>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</si>
  <si>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</si>
  <si>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</si>
  <si>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</si>
  <si>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</si>
  <si>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</si>
  <si>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</si>
  <si>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</si>
  <si>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</si>
  <si>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</si>
  <si>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</si>
  <si>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</si>
  <si>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</si>
  <si>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</si>
  <si>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</si>
  <si>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</si>
  <si>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</si>
  <si>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</si>
  <si>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</si>
  <si>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</si>
  <si>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</si>
  <si>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</si>
  <si>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</si>
  <si>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</si>
  <si>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</si>
  <si>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</si>
  <si>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</si>
  <si>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</si>
  <si>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</si>
  <si>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</si>
  <si>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</si>
  <si>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</si>
  <si>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</si>
  <si>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</si>
  <si>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</si>
  <si>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</si>
  <si>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</si>
  <si>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</si>
  <si>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</si>
  <si>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</si>
  <si>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</si>
  <si>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</si>
  <si>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</si>
  <si>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</si>
  <si>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</si>
  <si>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</si>
  <si>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</si>
  <si>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</si>
  <si>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</si>
  <si>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</si>
  <si>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</si>
  <si>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</si>
  <si>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</si>
  <si>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</si>
  <si>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</si>
  <si>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</si>
  <si>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</si>
  <si>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</si>
  <si>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</si>
  <si>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</si>
  <si>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</si>
  <si>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</si>
  <si>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</si>
  <si>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</si>
  <si>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</si>
  <si>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</si>
  <si>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</si>
  <si>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</si>
  <si>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</si>
  <si>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</si>
  <si>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</si>
  <si>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</si>
  <si>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</si>
  <si>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</si>
  <si>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</si>
  <si>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</si>
  <si>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</si>
  <si>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</si>
  <si>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</si>
  <si>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</si>
  <si>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</si>
  <si>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</si>
  <si>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</si>
  <si>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</si>
  <si>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</si>
  <si>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</si>
  <si>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</si>
  <si>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</si>
  <si>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</si>
  <si>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</si>
  <si>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</si>
  <si>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</si>
  <si>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</si>
  <si>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</si>
  <si>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</si>
  <si>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</si>
  <si>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</si>
  <si>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</si>
  <si>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</si>
  <si>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</si>
  <si>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</si>
  <si>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</si>
  <si>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</si>
  <si>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</si>
  <si>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</si>
  <si>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</si>
  <si>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</si>
  <si>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</si>
  <si>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</si>
  <si>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</si>
  <si>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</si>
  <si>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</si>
  <si>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</si>
  <si>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</si>
  <si>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</si>
  <si>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</si>
  <si>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</si>
  <si>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</si>
  <si>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</si>
  <si>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</si>
  <si>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</si>
  <si>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</si>
  <si>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</si>
  <si>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</si>
  <si>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</si>
  <si>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</si>
  <si>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</si>
  <si>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</si>
  <si>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</si>
  <si>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</si>
  <si>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</si>
  <si>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</si>
  <si>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</si>
  <si>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</si>
  <si>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</si>
  <si>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</si>
  <si>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</si>
  <si>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</si>
  <si>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</si>
  <si>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</si>
  <si>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</si>
  <si>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</si>
  <si>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</si>
  <si>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</si>
  <si>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</si>
  <si>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</si>
  <si>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</si>
  <si>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</si>
  <si>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</si>
  <si>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</si>
  <si>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</si>
  <si>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</si>
  <si>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</si>
  <si>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</si>
  <si>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</si>
  <si>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</si>
  <si>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</si>
  <si>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</si>
  <si>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</si>
  <si>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</si>
  <si>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</si>
  <si>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</si>
  <si>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</si>
  <si>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</si>
  <si>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</si>
  <si>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</si>
  <si>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</si>
  <si>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</si>
  <si>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</si>
  <si>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</si>
  <si>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</si>
  <si>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</si>
  <si>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</si>
  <si>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</si>
  <si>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</si>
  <si>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</si>
  <si>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</si>
  <si>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</si>
  <si>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</si>
  <si>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</si>
  <si>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</si>
  <si>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</si>
  <si>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</si>
  <si>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</si>
  <si>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</si>
  <si>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</si>
  <si>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</si>
  <si>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</si>
  <si>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</si>
  <si>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</si>
  <si>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</si>
  <si>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</si>
  <si>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</si>
  <si>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</si>
  <si>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</si>
  <si>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</si>
  <si>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</si>
  <si>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</si>
  <si>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</si>
  <si>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</si>
  <si>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</si>
  <si>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</si>
  <si>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</si>
  <si>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</si>
  <si>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</si>
  <si>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</si>
  <si>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</si>
  <si>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</si>
  <si>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</si>
  <si>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</si>
  <si>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</si>
  <si>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</si>
  <si>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</si>
  <si>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</si>
  <si>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</si>
  <si>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</si>
  <si>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</si>
  <si>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</si>
  <si>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</si>
  <si>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</si>
  <si>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</si>
  <si>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</si>
  <si>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</si>
  <si>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</si>
  <si>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</si>
  <si>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</si>
  <si>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</si>
  <si>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</si>
  <si>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</si>
  <si>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</si>
  <si>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</si>
  <si>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</si>
  <si>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</si>
  <si>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</si>
  <si>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</si>
  <si>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</si>
  <si>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</si>
  <si>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</si>
  <si>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</si>
  <si>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</si>
  <si>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</si>
  <si>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</si>
  <si>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</si>
  <si>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</si>
  <si>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</si>
  <si>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</si>
  <si>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</si>
  <si>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</si>
  <si>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</si>
  <si>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</si>
  <si>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</si>
  <si>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</si>
  <si>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</si>
  <si>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</si>
  <si>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</si>
  <si>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</si>
  <si>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</si>
  <si>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</si>
  <si>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</si>
  <si>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</si>
  <si>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</si>
  <si>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</si>
  <si>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</si>
  <si>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</si>
  <si>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</si>
  <si>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</si>
  <si>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</si>
  <si>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</si>
  <si>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</si>
  <si>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</si>
  <si>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</si>
  <si>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</si>
  <si>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</si>
  <si>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</si>
  <si>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</si>
  <si>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</si>
  <si>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</si>
  <si>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</si>
  <si>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</si>
  <si>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</si>
  <si>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</si>
  <si>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</si>
  <si>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</si>
  <si>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</si>
  <si>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</si>
  <si>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</si>
  <si>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</si>
  <si>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</si>
  <si>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</si>
  <si>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</si>
  <si>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</si>
  <si>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</si>
  <si>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</si>
  <si>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</si>
  <si>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</si>
  <si>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</si>
  <si>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</si>
  <si>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</si>
  <si>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</si>
  <si>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</si>
  <si>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</si>
  <si>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</si>
  <si>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</si>
  <si>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</si>
  <si>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</si>
  <si>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</si>
  <si>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</si>
  <si>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</si>
  <si>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</si>
  <si>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</si>
  <si>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</si>
  <si>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</si>
  <si>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</si>
  <si>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</si>
  <si>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</si>
  <si>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</si>
  <si>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</si>
  <si>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</si>
  <si>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</si>
  <si>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</si>
  <si>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</si>
  <si>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</si>
  <si>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</si>
  <si>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</si>
  <si>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</si>
  <si>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</si>
  <si>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</si>
  <si>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</si>
  <si>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</si>
  <si>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</si>
  <si>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</si>
  <si>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</si>
  <si>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</si>
  <si>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</si>
  <si>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</si>
  <si>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</si>
  <si>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</si>
  <si>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</si>
  <si>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</si>
  <si>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</si>
  <si>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</si>
  <si>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</si>
  <si>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</si>
  <si>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</si>
  <si>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</si>
  <si>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</si>
  <si>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</si>
  <si>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</si>
  <si>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</si>
  <si>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</si>
  <si>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</si>
  <si>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</si>
  <si>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</si>
  <si>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</si>
  <si>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</si>
  <si>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</si>
  <si>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</si>
  <si>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</si>
  <si>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</si>
  <si>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</si>
  <si>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</si>
  <si>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</si>
  <si>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</si>
  <si>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</si>
  <si>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</si>
  <si>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</si>
  <si>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</si>
  <si>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</si>
  <si>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</si>
  <si>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</si>
  <si>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</si>
  <si>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</si>
  <si>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</si>
  <si>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</si>
  <si>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</si>
  <si>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</si>
  <si>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</si>
  <si>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</si>
  <si>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</si>
  <si>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</si>
  <si>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</si>
  <si>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</si>
  <si>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</si>
  <si>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</si>
  <si>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</si>
  <si>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</si>
  <si>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</si>
  <si>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</si>
  <si>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</si>
  <si>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</si>
  <si>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</si>
  <si>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</si>
  <si>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</si>
  <si>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</si>
  <si>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</si>
  <si>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</si>
  <si>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</si>
  <si>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</si>
  <si>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</si>
  <si>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</si>
  <si>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</si>
  <si>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</si>
  <si>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</si>
  <si>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</si>
  <si>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</si>
  <si>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</si>
  <si>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</si>
  <si>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</si>
  <si>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</si>
  <si>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</si>
  <si>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</si>
  <si>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</si>
  <si>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</si>
  <si>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</si>
  <si>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</si>
  <si>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</si>
  <si>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</si>
  <si>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</si>
  <si>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</si>
  <si>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</si>
  <si>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</si>
  <si>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</si>
  <si>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</si>
  <si>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</si>
  <si>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</si>
  <si>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</si>
  <si>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</si>
  <si>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</si>
  <si>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</si>
  <si>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</si>
  <si>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</si>
  <si>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</si>
  <si>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</si>
  <si>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</si>
  <si>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</si>
  <si>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</si>
  <si>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</si>
  <si>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</si>
  <si>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</si>
  <si>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</si>
  <si>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</si>
  <si>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</si>
  <si>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</si>
  <si>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</si>
  <si>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</si>
  <si>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</si>
  <si>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</si>
  <si>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</si>
  <si>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</si>
  <si>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</si>
  <si>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</si>
  <si>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</si>
  <si>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</si>
  <si>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</si>
  <si>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</si>
  <si>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</si>
  <si>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</si>
  <si>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</si>
  <si>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</si>
  <si>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</si>
  <si>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</si>
  <si>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</si>
  <si>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</si>
  <si>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</si>
  <si>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</si>
  <si>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</si>
  <si>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</si>
  <si>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</si>
  <si>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</si>
  <si>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</si>
  <si>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</si>
  <si>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</si>
  <si>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</si>
  <si>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</si>
  <si>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</si>
  <si>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</si>
  <si>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</si>
  <si>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</si>
  <si>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</si>
  <si>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</si>
  <si>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</si>
  <si>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</si>
  <si>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</si>
  <si>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</si>
  <si>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</si>
  <si>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</si>
  <si>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</si>
  <si>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</si>
  <si>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</si>
  <si>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</si>
  <si>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</si>
  <si>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</si>
  <si>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</si>
  <si>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</si>
  <si>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</si>
  <si>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</si>
  <si>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</si>
  <si>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</si>
  <si>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</si>
  <si>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</si>
  <si>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</si>
  <si>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</si>
  <si>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</si>
  <si>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</si>
  <si>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</si>
  <si>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</si>
  <si>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</si>
  <si>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</si>
  <si>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</si>
  <si>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</si>
  <si>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</si>
  <si>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</si>
  <si>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</si>
  <si>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</si>
  <si>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</si>
  <si>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</si>
  <si>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</si>
  <si>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</si>
  <si>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</si>
  <si>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</si>
  <si>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</si>
  <si>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</si>
  <si>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</si>
  <si>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</si>
  <si>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</si>
  <si>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</si>
  <si>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</si>
  <si>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</si>
  <si>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</si>
  <si>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</si>
  <si>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</si>
  <si>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</si>
  <si>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</si>
  <si>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</si>
  <si>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</si>
  <si>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</si>
  <si>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</si>
  <si>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</si>
  <si>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</si>
  <si>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</si>
  <si>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</si>
  <si>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</si>
  <si>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</si>
  <si>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</si>
  <si>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</si>
  <si>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</si>
  <si>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</si>
  <si>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</si>
  <si>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</si>
  <si>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</si>
  <si>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</si>
  <si>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</si>
  <si>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</si>
  <si>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</si>
  <si>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</si>
  <si>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</si>
  <si>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</si>
  <si>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</si>
  <si>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</si>
  <si>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</si>
  <si>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</si>
  <si>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</si>
  <si>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</si>
  <si>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</si>
  <si>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</si>
  <si>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</si>
  <si>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</si>
  <si>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</si>
  <si>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</si>
  <si>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</si>
  <si>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</si>
  <si>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</si>
  <si>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</si>
  <si>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</si>
  <si>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</si>
  <si>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</si>
  <si>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</si>
  <si>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</si>
  <si>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</si>
  <si>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</si>
  <si>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</si>
  <si>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</si>
  <si>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</si>
  <si>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</si>
  <si>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</si>
  <si>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</si>
  <si>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</si>
  <si>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</si>
  <si>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</si>
  <si>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</si>
  <si>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</si>
  <si>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</si>
  <si>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</si>
  <si>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</si>
  <si>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</si>
  <si>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</si>
  <si>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</si>
  <si>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</si>
  <si>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</si>
  <si>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</si>
  <si>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</si>
  <si>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</si>
  <si>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</si>
  <si>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</si>
  <si>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</si>
  <si>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</si>
  <si>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</si>
  <si>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</si>
  <si>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</si>
  <si>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</si>
  <si>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</si>
  <si>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</si>
  <si>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</si>
  <si>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</si>
  <si>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</si>
  <si>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</si>
  <si>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</si>
  <si>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</si>
  <si>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</si>
  <si>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</si>
  <si>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</si>
  <si>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</si>
  <si>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</si>
  <si>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</si>
  <si>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</si>
  <si>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</si>
  <si>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</si>
  <si>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</si>
  <si>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</si>
  <si>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</si>
  <si>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</si>
  <si>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</si>
  <si>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</si>
  <si>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</si>
  <si>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</si>
  <si>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</si>
  <si>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</si>
  <si>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</si>
  <si>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</si>
  <si>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</si>
  <si>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</si>
  <si>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</si>
  <si>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</si>
  <si>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</si>
  <si>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</si>
  <si>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</si>
  <si>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</si>
  <si>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</si>
  <si>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</si>
  <si>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</si>
  <si>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</si>
  <si>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</si>
  <si>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</si>
  <si>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</si>
  <si>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</si>
  <si>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</si>
  <si>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</si>
  <si>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</si>
  <si>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</si>
  <si>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</si>
  <si>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</si>
  <si>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</si>
  <si>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</si>
  <si>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</si>
  <si>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</si>
  <si>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</si>
  <si>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</si>
  <si>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</si>
  <si>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</si>
  <si>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</si>
  <si>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</si>
  <si>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</si>
  <si>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</si>
  <si>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</si>
  <si>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</si>
  <si>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</si>
  <si>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</si>
  <si>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</si>
  <si>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</si>
  <si>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</si>
  <si>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</si>
  <si>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</si>
  <si>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</si>
  <si>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</si>
  <si>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</si>
  <si>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</si>
  <si>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</si>
  <si>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</si>
  <si>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</si>
  <si>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</si>
  <si>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</si>
  <si>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</si>
  <si>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</si>
  <si>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</si>
  <si>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</si>
  <si>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</si>
  <si>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</si>
  <si>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</si>
  <si>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</si>
  <si>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</si>
  <si>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</si>
  <si>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</si>
  <si>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</si>
  <si>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</si>
  <si>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</si>
  <si>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</si>
  <si>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</si>
  <si>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</si>
  <si>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</si>
  <si>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</si>
  <si>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</si>
  <si>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</si>
  <si>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</si>
  <si>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</si>
  <si>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</si>
  <si>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</si>
  <si>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</si>
  <si>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</si>
  <si>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</si>
  <si>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</si>
  <si>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</si>
  <si>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</si>
  <si>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</si>
  <si>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</si>
  <si>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</si>
  <si>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</si>
  <si>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</si>
  <si>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</si>
  <si>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</si>
  <si>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</si>
  <si>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</si>
  <si>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</si>
  <si>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</si>
  <si>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</si>
  <si>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</si>
  <si>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</si>
  <si>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</si>
  <si>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</si>
  <si>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</si>
  <si>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</si>
  <si>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</si>
  <si>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</si>
  <si>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</si>
  <si>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</si>
  <si>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</si>
  <si>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</si>
  <si>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</si>
  <si>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</si>
  <si>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</si>
  <si>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</si>
  <si>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</si>
  <si>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</si>
  <si>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</si>
  <si>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</si>
  <si>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</si>
  <si>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</si>
  <si>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</si>
  <si>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</si>
  <si>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</si>
  <si>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</si>
  <si>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</si>
  <si>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</si>
  <si>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</si>
  <si>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</si>
  <si>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</si>
  <si>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</si>
  <si>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</si>
  <si>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</si>
  <si>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</si>
  <si>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</si>
  <si>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</si>
  <si>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</si>
  <si>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</si>
  <si>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</si>
  <si>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</si>
  <si>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</si>
  <si>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</si>
  <si>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</si>
  <si>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</si>
  <si>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</si>
  <si>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</si>
  <si>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</si>
  <si>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</si>
  <si>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</si>
  <si>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</si>
  <si>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</si>
  <si>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</si>
  <si>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</si>
  <si>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</si>
  <si>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</si>
  <si>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</si>
  <si>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</si>
  <si>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</si>
  <si>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</si>
  <si>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</si>
  <si>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</si>
  <si>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</si>
  <si>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</si>
  <si>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</si>
  <si>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</si>
  <si>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</si>
  <si>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</si>
  <si>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</si>
  <si>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</si>
  <si>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</si>
  <si>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</si>
  <si>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</si>
  <si>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</si>
  <si>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</si>
  <si>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</si>
  <si>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</si>
  <si>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</si>
  <si>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</si>
  <si>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</si>
  <si>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</si>
  <si>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</si>
  <si>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</si>
  <si>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</si>
  <si>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</si>
  <si>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</si>
  <si>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</si>
  <si>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</si>
  <si>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</si>
  <si>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</si>
  <si>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</si>
  <si>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</si>
  <si>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</si>
  <si>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</si>
  <si>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</si>
  <si>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</si>
  <si>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</si>
  <si>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</si>
  <si>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</si>
  <si>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</si>
  <si>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</si>
  <si>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</si>
  <si>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</si>
  <si>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</si>
  <si>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</si>
  <si>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</si>
  <si>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</si>
  <si>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</si>
  <si>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</si>
  <si>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</si>
  <si>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</si>
  <si>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</si>
  <si>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</si>
  <si>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</si>
  <si>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</si>
  <si>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</si>
  <si>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</si>
  <si>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</si>
  <si>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</si>
  <si>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</si>
  <si>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</si>
  <si>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</si>
  <si>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</si>
  <si>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</si>
  <si>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</si>
  <si>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</si>
  <si>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</si>
  <si>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</si>
  <si>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</si>
  <si>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</si>
  <si>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</si>
  <si>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</si>
  <si>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</si>
  <si>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</si>
  <si>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</si>
  <si>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</si>
  <si>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</si>
  <si>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</si>
  <si>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</si>
  <si>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</si>
  <si>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</si>
  <si>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</si>
  <si>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</si>
  <si>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</si>
  <si>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</si>
  <si>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</si>
  <si>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</si>
  <si>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</si>
  <si>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</si>
  <si>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</si>
  <si>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</si>
  <si>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</si>
  <si>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</si>
  <si>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</si>
  <si>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</si>
  <si>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</si>
  <si>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</si>
  <si>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</si>
  <si>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</si>
  <si>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</si>
  <si>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</si>
  <si>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</si>
  <si>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</si>
  <si>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</si>
  <si>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</si>
  <si>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</si>
  <si>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</si>
  <si>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</si>
  <si>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</si>
  <si>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</si>
  <si>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</si>
  <si>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</si>
  <si>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</si>
  <si>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</si>
  <si>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</si>
  <si>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</si>
  <si>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</si>
  <si>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</si>
  <si>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</si>
  <si>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</si>
  <si>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</si>
  <si>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</si>
  <si>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</si>
  <si>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</si>
  <si>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</si>
  <si>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</si>
  <si>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</si>
  <si>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</si>
  <si>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</si>
  <si>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</si>
  <si>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</si>
  <si>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</si>
  <si>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</si>
  <si>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</si>
  <si>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</si>
  <si>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</si>
  <si>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</si>
  <si>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</si>
  <si>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</si>
  <si>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</si>
  <si>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</si>
  <si>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</si>
  <si>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</si>
  <si>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</si>
  <si>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</si>
  <si>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</si>
  <si>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</si>
  <si>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</si>
  <si>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</si>
  <si>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</si>
  <si>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</si>
  <si>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</si>
  <si>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</si>
  <si>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</si>
  <si>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</si>
  <si>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</si>
  <si>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</si>
  <si>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</si>
  <si>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</si>
  <si>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</si>
  <si>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</si>
  <si>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</si>
  <si>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</si>
  <si>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</si>
  <si>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</si>
  <si>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</si>
  <si>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</si>
  <si>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</si>
  <si>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</si>
  <si>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</si>
  <si>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</si>
  <si>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</si>
  <si>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</si>
  <si>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</si>
  <si>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</si>
  <si>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</si>
  <si>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</si>
  <si>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</si>
  <si>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</si>
  <si>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</si>
  <si>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</si>
  <si>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</si>
  <si>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</si>
  <si>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</si>
  <si>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</si>
  <si>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</si>
  <si>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</si>
  <si>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</si>
  <si>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</si>
  <si>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</si>
  <si>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</si>
  <si>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</si>
  <si>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</si>
  <si>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</si>
  <si>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</si>
  <si>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</si>
  <si>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</si>
  <si>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</si>
  <si>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</si>
  <si>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</si>
  <si>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</si>
  <si>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</si>
  <si>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</si>
  <si>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</si>
  <si>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</si>
  <si>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</si>
  <si>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</si>
  <si>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</si>
  <si>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</si>
  <si>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</si>
  <si>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</si>
  <si>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</si>
  <si>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</si>
  <si>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</si>
  <si>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</si>
  <si>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</si>
  <si>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</si>
  <si>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</si>
  <si>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</si>
  <si>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</si>
  <si>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</si>
  <si>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</si>
  <si>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</si>
  <si>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</si>
  <si>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</si>
  <si>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</si>
  <si>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</si>
  <si>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</si>
  <si>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</si>
  <si>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</si>
  <si>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</si>
  <si>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</si>
  <si>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</si>
  <si>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</si>
  <si>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</si>
  <si>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</si>
  <si>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</si>
  <si>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</si>
  <si>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</si>
  <si>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</si>
  <si>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</si>
  <si>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</si>
  <si>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</si>
  <si>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</si>
  <si>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</si>
  <si>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</si>
  <si>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</si>
  <si>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</si>
  <si>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</si>
  <si>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</si>
  <si>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</si>
  <si>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</si>
  <si>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</si>
  <si>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</si>
  <si>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</si>
  <si>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</si>
  <si>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</si>
  <si>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</si>
  <si>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</si>
  <si>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</si>
  <si>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</si>
  <si>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</si>
  <si>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</si>
  <si>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</si>
  <si>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</si>
  <si>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</si>
  <si>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</si>
  <si>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</si>
  <si>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</si>
  <si>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</si>
  <si>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</si>
  <si>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</si>
  <si>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</si>
  <si>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</si>
  <si>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</si>
  <si>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</si>
  <si>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</si>
  <si>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</si>
  <si>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</si>
  <si>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</si>
  <si>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</si>
  <si>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</si>
  <si>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</si>
  <si>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</si>
  <si>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</si>
  <si>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</si>
  <si>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</si>
  <si>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</si>
  <si>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</si>
  <si>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</si>
  <si>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</si>
  <si>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</si>
  <si>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</si>
  <si>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fried rice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</si>
  <si>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</si>
  <si>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</si>
  <si>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</si>
  <si>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</si>
  <si>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</si>
  <si>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</si>
  <si>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</si>
  <si>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</si>
  <si>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</si>
  <si>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</si>
  <si>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</si>
  <si>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</si>
  <si>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</si>
  <si>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</si>
  <si>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</si>
  <si>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</si>
  <si>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</si>
  <si>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</si>
  <si>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</si>
  <si>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</si>
  <si>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</si>
  <si>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</si>
  <si>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</si>
  <si>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</si>
  <si>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</si>
  <si>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</si>
  <si>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</si>
  <si>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</si>
  <si>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</si>
  <si>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</si>
  <si>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</si>
  <si>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</si>
  <si>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</si>
  <si>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</si>
  <si>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</si>
  <si>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FnF{108</t>
  </si>
  <si>
    <t>homeBx3Y</t>
  </si>
  <si>
    <t>pp ICA #SCB</t>
  </si>
  <si>
    <t>HsbcRBBT-I#26/12</t>
  </si>
  <si>
    <t>gov handout #108</t>
  </si>
  <si>
    <t>USD 21</t>
  </si>
  <si>
    <t>fairprice</t>
  </si>
  <si>
    <t>mid 28Dec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</si>
</sst>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3" fontId="25" fillId="0" borderId="0" xfId="0" applyNumberFormat="1" applyFont="1" applyFill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A4" zoomScaleNormal="100" workbookViewId="0">
      <selection activeCell="X37" sqref="X37"/>
    </sheetView>
  </sheetViews>
  <sheetFormatPr defaultRowHeight="12.75"/>
  <cols>
    <col min="1" max="1" width="6.5703125" customWidth="1"/>
    <col min="2" max="2" width="0.5703125" style="440" customWidth="1"/>
    <col min="3" max="5" width="0.5703125" customWidth="1"/>
    <col min="6" max="6" width="0.5703125" style="440" customWidth="1"/>
    <col min="7" max="9" width="0.5703125" style="402" customWidth="1"/>
    <col min="10" max="10" width="0.5703125" style="440" customWidth="1"/>
    <col min="11" max="13" width="0.5703125" style="402" customWidth="1"/>
    <col min="14" max="14" width="11.28515625" style="440" bestFit="1" customWidth="1"/>
    <col min="15" max="15" width="4" style="402" bestFit="1" customWidth="1"/>
    <col min="16" max="16" width="7.5703125" style="402" bestFit="1" customWidth="1"/>
    <col min="17" max="17" width="6.5703125" customWidth="1"/>
    <col min="18" max="18" width="11.28515625" style="440" bestFit="1" customWidth="1"/>
    <col min="19" max="19" width="4" style="609" bestFit="1" customWidth="1"/>
    <col min="20" max="20" width="9.140625" style="609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2" customFormat="1" ht="5.45" customHeight="1">
      <c r="B1" s="440"/>
      <c r="F1" s="440"/>
      <c r="J1" s="440"/>
      <c r="N1" s="440"/>
      <c r="R1" s="440"/>
      <c r="S1" s="609"/>
      <c r="T1" s="609"/>
    </row>
    <row r="2" spans="2:20" s="402" customFormat="1">
      <c r="B2" s="440"/>
      <c r="D2" t="s">
        <v>2699</v>
      </c>
      <c r="F2" s="440"/>
      <c r="G2" s="402" t="s">
        <v>2700</v>
      </c>
      <c r="H2" s="402" t="s">
        <v>2699</v>
      </c>
      <c r="J2" s="440"/>
      <c r="K2" s="402" t="s">
        <v>2700</v>
      </c>
      <c r="L2" s="402" t="s">
        <v>2699</v>
      </c>
      <c r="N2" s="440"/>
      <c r="O2" s="402" t="s">
        <v>2700</v>
      </c>
      <c r="P2" s="402" t="s">
        <v>2699</v>
      </c>
      <c r="R2" s="440" t="s">
        <v>423</v>
      </c>
      <c r="S2" s="609" t="s">
        <v>2700</v>
      </c>
      <c r="T2" s="609" t="s">
        <v>2699</v>
      </c>
    </row>
    <row r="3" spans="2:20">
      <c r="B3" s="440">
        <v>45047</v>
      </c>
      <c r="C3">
        <v>0</v>
      </c>
      <c r="D3" s="423">
        <f t="shared" ref="D3:D22" si="0">C3*1000*0.05%/365</f>
        <v>0</v>
      </c>
      <c r="F3" s="440">
        <v>45078</v>
      </c>
      <c r="G3" s="422">
        <v>585</v>
      </c>
      <c r="H3" s="423">
        <f t="shared" ref="H3:H22" si="1">G3*1000*0.05%/365</f>
        <v>0.80136986301369861</v>
      </c>
      <c r="J3" s="440">
        <v>45108</v>
      </c>
      <c r="K3" s="422">
        <v>595</v>
      </c>
      <c r="L3" s="423">
        <f t="shared" ref="L3:L22" si="2">K3*1000*0.05%/365</f>
        <v>0.81506849315068497</v>
      </c>
      <c r="N3" s="440">
        <v>45139</v>
      </c>
      <c r="O3" s="402">
        <v>740</v>
      </c>
      <c r="P3" s="423">
        <f t="shared" ref="P3:P6" si="3">O3*1000*0.05%/365</f>
        <v>1.0136986301369864</v>
      </c>
      <c r="T3" s="423"/>
    </row>
    <row r="4" spans="2:20">
      <c r="B4" s="440">
        <v>45048</v>
      </c>
      <c r="C4">
        <v>325</v>
      </c>
      <c r="D4" s="423">
        <f t="shared" si="0"/>
        <v>0.4452054794520548</v>
      </c>
      <c r="F4" s="440">
        <v>45079</v>
      </c>
      <c r="G4" s="422">
        <v>585</v>
      </c>
      <c r="H4" s="423">
        <f t="shared" si="1"/>
        <v>0.80136986301369861</v>
      </c>
      <c r="J4" s="440">
        <v>45109</v>
      </c>
      <c r="K4" s="422">
        <v>595</v>
      </c>
      <c r="L4" s="423">
        <f t="shared" si="2"/>
        <v>0.81506849315068497</v>
      </c>
      <c r="N4" s="440">
        <v>45140</v>
      </c>
      <c r="O4" s="431">
        <v>740</v>
      </c>
      <c r="P4" s="423">
        <f t="shared" si="3"/>
        <v>1.0136986301369864</v>
      </c>
      <c r="R4" s="440">
        <v>45260</v>
      </c>
      <c r="S4" s="609">
        <v>232</v>
      </c>
      <c r="T4" s="423">
        <f t="shared" ref="T4:T12" si="4">S4*1000*3.7%/365</f>
        <v>23.517808219178086</v>
      </c>
    </row>
    <row r="5" spans="2:20">
      <c r="B5" s="440">
        <v>45049</v>
      </c>
      <c r="C5">
        <v>500</v>
      </c>
      <c r="D5" s="423">
        <f t="shared" si="0"/>
        <v>0.68493150684931503</v>
      </c>
      <c r="F5" s="440">
        <v>45080</v>
      </c>
      <c r="G5" s="422">
        <v>585</v>
      </c>
      <c r="H5" s="423">
        <f t="shared" si="1"/>
        <v>0.80136986301369861</v>
      </c>
      <c r="J5" s="440">
        <v>45110</v>
      </c>
      <c r="K5" s="422">
        <v>595</v>
      </c>
      <c r="L5" s="423">
        <f t="shared" si="2"/>
        <v>0.81506849315068497</v>
      </c>
      <c r="N5" s="440">
        <v>45141</v>
      </c>
      <c r="O5" s="431">
        <v>740</v>
      </c>
      <c r="P5" s="423">
        <f t="shared" si="3"/>
        <v>1.0136986301369864</v>
      </c>
      <c r="R5" s="440">
        <v>45259</v>
      </c>
      <c r="S5" s="609">
        <v>233</v>
      </c>
      <c r="T5" s="423">
        <f t="shared" si="4"/>
        <v>23.619178082191787</v>
      </c>
    </row>
    <row r="6" spans="2:20">
      <c r="B6" s="440">
        <v>45050</v>
      </c>
      <c r="C6" s="403">
        <v>500</v>
      </c>
      <c r="D6" s="423">
        <f t="shared" si="0"/>
        <v>0.68493150684931503</v>
      </c>
      <c r="F6" s="440">
        <v>45081</v>
      </c>
      <c r="G6" s="422">
        <v>585</v>
      </c>
      <c r="H6" s="423">
        <f t="shared" si="1"/>
        <v>0.80136986301369861</v>
      </c>
      <c r="J6" s="440">
        <v>45111</v>
      </c>
      <c r="K6" s="422">
        <v>595</v>
      </c>
      <c r="L6" s="423">
        <f t="shared" si="2"/>
        <v>0.81506849315068497</v>
      </c>
      <c r="N6" s="440">
        <v>45142</v>
      </c>
      <c r="O6" s="431">
        <v>740</v>
      </c>
      <c r="P6" s="423">
        <f t="shared" si="3"/>
        <v>1.0136986301369864</v>
      </c>
      <c r="R6" s="440">
        <v>45258</v>
      </c>
      <c r="S6" s="631">
        <v>233</v>
      </c>
      <c r="T6" s="423">
        <f t="shared" si="4"/>
        <v>23.619178082191787</v>
      </c>
    </row>
    <row r="7" spans="2:20">
      <c r="B7" s="440">
        <v>45051</v>
      </c>
      <c r="C7" s="403">
        <v>500</v>
      </c>
      <c r="D7" s="423">
        <f t="shared" si="0"/>
        <v>0.68493150684931503</v>
      </c>
      <c r="F7" s="440">
        <v>45082</v>
      </c>
      <c r="G7" s="422">
        <v>585</v>
      </c>
      <c r="H7" s="423">
        <f t="shared" si="1"/>
        <v>0.80136986301369861</v>
      </c>
      <c r="J7" s="440">
        <v>45112</v>
      </c>
      <c r="K7" s="402">
        <v>595</v>
      </c>
      <c r="L7" s="423">
        <f t="shared" si="2"/>
        <v>0.81506849315068497</v>
      </c>
      <c r="N7" s="440">
        <v>45143</v>
      </c>
      <c r="O7" s="402">
        <v>740</v>
      </c>
      <c r="P7" s="423">
        <f t="shared" ref="P7:P33" si="5">O7*1000*0.05%/365</f>
        <v>1.0136986301369864</v>
      </c>
      <c r="R7" s="440">
        <v>45257</v>
      </c>
      <c r="S7" s="631">
        <v>233</v>
      </c>
      <c r="T7" s="423">
        <f t="shared" si="4"/>
        <v>23.619178082191787</v>
      </c>
    </row>
    <row r="8" spans="2:20">
      <c r="B8" s="440">
        <v>45052</v>
      </c>
      <c r="C8" s="403">
        <v>500</v>
      </c>
      <c r="D8" s="423">
        <f t="shared" si="0"/>
        <v>0.68493150684931503</v>
      </c>
      <c r="F8" s="440">
        <v>45083</v>
      </c>
      <c r="G8" s="422">
        <v>585</v>
      </c>
      <c r="H8" s="423">
        <f t="shared" si="1"/>
        <v>0.80136986301369861</v>
      </c>
      <c r="J8" s="440">
        <v>45113</v>
      </c>
      <c r="K8" s="402">
        <v>600</v>
      </c>
      <c r="L8" s="423">
        <f t="shared" si="2"/>
        <v>0.82191780821917804</v>
      </c>
      <c r="N8" s="440">
        <v>45144</v>
      </c>
      <c r="O8" s="402">
        <v>740</v>
      </c>
      <c r="P8" s="423">
        <f t="shared" si="5"/>
        <v>1.0136986301369864</v>
      </c>
      <c r="R8" s="440">
        <v>45256</v>
      </c>
      <c r="S8" s="631">
        <v>228</v>
      </c>
      <c r="T8" s="423">
        <f t="shared" si="4"/>
        <v>23.112328767123294</v>
      </c>
    </row>
    <row r="9" spans="2:20">
      <c r="B9" s="440">
        <v>45053</v>
      </c>
      <c r="C9" s="403">
        <v>500</v>
      </c>
      <c r="D9" s="423">
        <f t="shared" si="0"/>
        <v>0.68493150684931503</v>
      </c>
      <c r="F9" s="440">
        <v>45084</v>
      </c>
      <c r="G9" s="422">
        <v>585</v>
      </c>
      <c r="H9" s="423">
        <f t="shared" si="1"/>
        <v>0.80136986301369861</v>
      </c>
      <c r="J9" s="440">
        <v>45114</v>
      </c>
      <c r="K9" s="422">
        <v>610</v>
      </c>
      <c r="L9" s="423">
        <f t="shared" si="2"/>
        <v>0.83561643835616439</v>
      </c>
      <c r="N9" s="440">
        <v>45145</v>
      </c>
      <c r="O9" s="402">
        <v>685</v>
      </c>
      <c r="P9" s="423">
        <f t="shared" si="5"/>
        <v>0.93835616438356162</v>
      </c>
      <c r="R9" s="440">
        <v>45255</v>
      </c>
      <c r="S9" s="631">
        <v>228</v>
      </c>
      <c r="T9" s="423">
        <f t="shared" si="4"/>
        <v>23.112328767123294</v>
      </c>
    </row>
    <row r="10" spans="2:20">
      <c r="B10" s="440">
        <v>45054</v>
      </c>
      <c r="C10" s="403">
        <v>500</v>
      </c>
      <c r="D10" s="423">
        <f t="shared" si="0"/>
        <v>0.68493150684931503</v>
      </c>
      <c r="F10" s="440">
        <v>45085</v>
      </c>
      <c r="G10" s="422">
        <v>585</v>
      </c>
      <c r="H10" s="423">
        <f t="shared" si="1"/>
        <v>0.80136986301369861</v>
      </c>
      <c r="J10" s="440">
        <v>45115</v>
      </c>
      <c r="K10" s="402">
        <v>610</v>
      </c>
      <c r="L10" s="423">
        <f t="shared" si="2"/>
        <v>0.83561643835616439</v>
      </c>
      <c r="N10" s="440">
        <v>45146</v>
      </c>
      <c r="O10" s="432">
        <v>685</v>
      </c>
      <c r="P10" s="423">
        <f t="shared" si="5"/>
        <v>0.93835616438356162</v>
      </c>
      <c r="R10" s="440">
        <v>45254</v>
      </c>
      <c r="S10" s="631">
        <v>228</v>
      </c>
      <c r="T10" s="423">
        <f t="shared" si="4"/>
        <v>23.112328767123294</v>
      </c>
    </row>
    <row r="11" spans="2:20">
      <c r="B11" s="440">
        <v>45055</v>
      </c>
      <c r="C11" s="403">
        <v>500</v>
      </c>
      <c r="D11" s="423">
        <f t="shared" si="0"/>
        <v>0.68493150684931503</v>
      </c>
      <c r="F11" s="440">
        <v>45086</v>
      </c>
      <c r="G11" s="422">
        <v>585</v>
      </c>
      <c r="H11" s="423">
        <f t="shared" si="1"/>
        <v>0.80136986301369861</v>
      </c>
      <c r="J11" s="440">
        <v>45116</v>
      </c>
      <c r="K11" s="422">
        <v>610</v>
      </c>
      <c r="L11" s="423">
        <f t="shared" si="2"/>
        <v>0.83561643835616439</v>
      </c>
      <c r="N11" s="440">
        <v>45147</v>
      </c>
      <c r="O11" s="432">
        <v>685</v>
      </c>
      <c r="P11" s="423">
        <f t="shared" si="5"/>
        <v>0.93835616438356162</v>
      </c>
      <c r="R11" s="440">
        <v>45253</v>
      </c>
      <c r="S11" s="609">
        <v>228</v>
      </c>
      <c r="T11" s="423">
        <f t="shared" si="4"/>
        <v>23.112328767123294</v>
      </c>
    </row>
    <row r="12" spans="2:20">
      <c r="B12" s="440">
        <v>45056</v>
      </c>
      <c r="C12" s="403">
        <v>500</v>
      </c>
      <c r="D12" s="423">
        <f t="shared" si="0"/>
        <v>0.68493150684931503</v>
      </c>
      <c r="F12" s="440">
        <v>45087</v>
      </c>
      <c r="G12" s="422">
        <v>585</v>
      </c>
      <c r="H12" s="423">
        <f t="shared" si="1"/>
        <v>0.80136986301369861</v>
      </c>
      <c r="J12" s="440">
        <v>45117</v>
      </c>
      <c r="K12" s="402">
        <v>695</v>
      </c>
      <c r="L12" s="423">
        <f t="shared" si="2"/>
        <v>0.95205479452054798</v>
      </c>
      <c r="N12" s="440">
        <v>45148</v>
      </c>
      <c r="O12" s="402">
        <v>747</v>
      </c>
      <c r="P12" s="423">
        <f t="shared" si="5"/>
        <v>1.0232876712328767</v>
      </c>
      <c r="R12" s="440">
        <v>45252</v>
      </c>
      <c r="S12" s="631">
        <v>226</v>
      </c>
      <c r="T12" s="423">
        <f t="shared" si="4"/>
        <v>22.909589041095895</v>
      </c>
    </row>
    <row r="13" spans="2:20">
      <c r="B13" s="440">
        <v>45057</v>
      </c>
      <c r="C13" s="402">
        <v>515</v>
      </c>
      <c r="D13" s="423">
        <f t="shared" si="0"/>
        <v>0.70547945205479456</v>
      </c>
      <c r="F13" s="440">
        <v>45088</v>
      </c>
      <c r="G13" s="422">
        <v>585</v>
      </c>
      <c r="H13" s="423">
        <f t="shared" si="1"/>
        <v>0.80136986301369861</v>
      </c>
      <c r="J13" s="440">
        <v>45118</v>
      </c>
      <c r="K13" s="422">
        <v>730</v>
      </c>
      <c r="L13" s="423">
        <f t="shared" si="2"/>
        <v>1</v>
      </c>
      <c r="N13" s="440">
        <v>45149</v>
      </c>
      <c r="O13" s="402">
        <v>745</v>
      </c>
      <c r="P13" s="423">
        <f t="shared" si="5"/>
        <v>1.0205479452054795</v>
      </c>
      <c r="R13" s="440">
        <v>45251</v>
      </c>
      <c r="S13" s="609">
        <v>226</v>
      </c>
      <c r="T13" s="423">
        <f>S13*1000*3.7%/365</f>
        <v>22.909589041095895</v>
      </c>
    </row>
    <row r="14" spans="2:20">
      <c r="B14" s="440">
        <v>45058</v>
      </c>
      <c r="C14" s="403">
        <v>515</v>
      </c>
      <c r="D14" s="423">
        <f t="shared" si="0"/>
        <v>0.70547945205479456</v>
      </c>
      <c r="F14" s="440">
        <v>45089</v>
      </c>
      <c r="G14" s="422">
        <v>585</v>
      </c>
      <c r="H14" s="423">
        <f t="shared" si="1"/>
        <v>0.80136986301369861</v>
      </c>
      <c r="J14" s="440">
        <v>45119</v>
      </c>
      <c r="K14" s="422">
        <v>730</v>
      </c>
      <c r="L14" s="423">
        <f t="shared" si="2"/>
        <v>1</v>
      </c>
      <c r="N14" s="440">
        <v>45150</v>
      </c>
      <c r="O14" s="432">
        <v>745</v>
      </c>
      <c r="P14" s="423">
        <f t="shared" si="5"/>
        <v>1.0205479452054795</v>
      </c>
      <c r="R14" s="440">
        <v>45250</v>
      </c>
      <c r="S14" s="609">
        <v>236</v>
      </c>
      <c r="T14" s="423">
        <f t="shared" ref="T14:T33" si="6">S14*1000*3.7%/365</f>
        <v>23.923287671232881</v>
      </c>
    </row>
    <row r="15" spans="2:20">
      <c r="B15" s="440">
        <v>45059</v>
      </c>
      <c r="C15" s="403">
        <v>515</v>
      </c>
      <c r="D15" s="423">
        <f t="shared" si="0"/>
        <v>0.70547945205479456</v>
      </c>
      <c r="F15" s="440">
        <v>45090</v>
      </c>
      <c r="G15" s="422">
        <v>585</v>
      </c>
      <c r="H15" s="423">
        <f t="shared" si="1"/>
        <v>0.80136986301369861</v>
      </c>
      <c r="J15" s="440">
        <v>45120</v>
      </c>
      <c r="K15" s="422">
        <v>730</v>
      </c>
      <c r="L15" s="423">
        <f t="shared" si="2"/>
        <v>1</v>
      </c>
      <c r="N15" s="440">
        <v>45151</v>
      </c>
      <c r="O15" s="432">
        <v>745</v>
      </c>
      <c r="P15" s="423">
        <f t="shared" si="5"/>
        <v>1.0205479452054795</v>
      </c>
      <c r="R15" s="440">
        <v>45249</v>
      </c>
      <c r="S15" s="609">
        <v>236</v>
      </c>
      <c r="T15" s="423">
        <f t="shared" si="6"/>
        <v>23.923287671232881</v>
      </c>
    </row>
    <row r="16" spans="2:20">
      <c r="B16" s="440">
        <v>45060</v>
      </c>
      <c r="C16" s="403">
        <v>515</v>
      </c>
      <c r="D16" s="423">
        <f t="shared" si="0"/>
        <v>0.70547945205479456</v>
      </c>
      <c r="F16" s="440">
        <v>45091</v>
      </c>
      <c r="G16" s="422">
        <v>585</v>
      </c>
      <c r="H16" s="423">
        <f t="shared" si="1"/>
        <v>0.80136986301369861</v>
      </c>
      <c r="J16" s="440">
        <v>45121</v>
      </c>
      <c r="K16" s="422">
        <v>730</v>
      </c>
      <c r="L16" s="423">
        <f t="shared" si="2"/>
        <v>1</v>
      </c>
      <c r="N16" s="440">
        <v>45152</v>
      </c>
      <c r="O16" s="432">
        <v>745</v>
      </c>
      <c r="P16" s="423">
        <f t="shared" si="5"/>
        <v>1.0205479452054795</v>
      </c>
      <c r="R16" s="440">
        <v>45248</v>
      </c>
      <c r="S16" s="609">
        <v>236</v>
      </c>
      <c r="T16" s="423">
        <f t="shared" si="6"/>
        <v>23.923287671232881</v>
      </c>
    </row>
    <row r="17" spans="2:24">
      <c r="B17" s="440">
        <v>45061</v>
      </c>
      <c r="C17" s="403">
        <v>515</v>
      </c>
      <c r="D17" s="423">
        <f t="shared" si="0"/>
        <v>0.70547945205479456</v>
      </c>
      <c r="F17" s="440">
        <v>45092</v>
      </c>
      <c r="G17" s="422">
        <v>585</v>
      </c>
      <c r="H17" s="423">
        <f t="shared" si="1"/>
        <v>0.80136986301369861</v>
      </c>
      <c r="J17" s="440">
        <v>45122</v>
      </c>
      <c r="K17" s="402">
        <v>730</v>
      </c>
      <c r="L17" s="423">
        <f t="shared" si="2"/>
        <v>1</v>
      </c>
      <c r="N17" s="440">
        <v>45153</v>
      </c>
      <c r="O17" s="432">
        <v>745</v>
      </c>
      <c r="P17" s="423">
        <f t="shared" si="5"/>
        <v>1.0205479452054795</v>
      </c>
      <c r="R17" s="440">
        <v>45247</v>
      </c>
      <c r="S17" s="609">
        <v>236</v>
      </c>
      <c r="T17" s="423">
        <f t="shared" si="6"/>
        <v>23.923287671232881</v>
      </c>
    </row>
    <row r="18" spans="2:24">
      <c r="B18" s="440">
        <v>45062</v>
      </c>
      <c r="C18" s="402">
        <v>540</v>
      </c>
      <c r="D18" s="423">
        <f t="shared" si="0"/>
        <v>0.73972602739726023</v>
      </c>
      <c r="F18" s="440">
        <v>45093</v>
      </c>
      <c r="G18" s="422">
        <v>585</v>
      </c>
      <c r="H18" s="423">
        <f t="shared" si="1"/>
        <v>0.80136986301369861</v>
      </c>
      <c r="J18" s="440">
        <v>45123</v>
      </c>
      <c r="K18" s="422">
        <v>730</v>
      </c>
      <c r="L18" s="423">
        <f t="shared" si="2"/>
        <v>1</v>
      </c>
      <c r="N18" s="440">
        <v>45154</v>
      </c>
      <c r="O18" s="402">
        <v>595</v>
      </c>
      <c r="P18" s="423">
        <f t="shared" si="5"/>
        <v>0.81506849315068497</v>
      </c>
      <c r="R18" s="440">
        <v>45246</v>
      </c>
      <c r="S18" s="435">
        <v>234</v>
      </c>
      <c r="T18" s="423">
        <f t="shared" si="6"/>
        <v>23.720547945205485</v>
      </c>
    </row>
    <row r="19" spans="2:24">
      <c r="B19" s="440">
        <v>45063</v>
      </c>
      <c r="C19" s="402">
        <v>545</v>
      </c>
      <c r="D19" s="423">
        <f t="shared" si="0"/>
        <v>0.74657534246575341</v>
      </c>
      <c r="F19" s="440">
        <v>45094</v>
      </c>
      <c r="G19" s="422">
        <v>585</v>
      </c>
      <c r="H19" s="423">
        <f t="shared" si="1"/>
        <v>0.80136986301369861</v>
      </c>
      <c r="J19" s="440">
        <v>45124</v>
      </c>
      <c r="K19" s="426">
        <v>730</v>
      </c>
      <c r="L19" s="423">
        <f t="shared" si="2"/>
        <v>1</v>
      </c>
      <c r="N19" s="440">
        <v>45155</v>
      </c>
      <c r="O19" s="402">
        <v>735</v>
      </c>
      <c r="P19" s="423">
        <f t="shared" si="5"/>
        <v>1.0068493150684932</v>
      </c>
      <c r="R19" s="440">
        <v>45245</v>
      </c>
      <c r="S19" s="435">
        <v>234</v>
      </c>
      <c r="T19" s="423">
        <f t="shared" si="6"/>
        <v>23.720547945205485</v>
      </c>
    </row>
    <row r="20" spans="2:24">
      <c r="B20" s="440">
        <v>45064</v>
      </c>
      <c r="C20" s="403">
        <v>545</v>
      </c>
      <c r="D20" s="423">
        <f t="shared" si="0"/>
        <v>0.74657534246575341</v>
      </c>
      <c r="F20" s="440">
        <v>45095</v>
      </c>
      <c r="G20" s="422">
        <v>585</v>
      </c>
      <c r="H20" s="423">
        <f t="shared" si="1"/>
        <v>0.80136986301369861</v>
      </c>
      <c r="J20" s="440">
        <v>45125</v>
      </c>
      <c r="K20" s="426">
        <v>730</v>
      </c>
      <c r="L20" s="423">
        <f t="shared" si="2"/>
        <v>1</v>
      </c>
      <c r="N20" s="440">
        <v>45156</v>
      </c>
      <c r="O20" s="402">
        <v>735</v>
      </c>
      <c r="P20" s="423">
        <f t="shared" si="5"/>
        <v>1.0068493150684932</v>
      </c>
      <c r="R20" s="440">
        <v>45244</v>
      </c>
      <c r="S20" s="435">
        <v>234</v>
      </c>
      <c r="T20" s="423">
        <f t="shared" si="6"/>
        <v>23.720547945205485</v>
      </c>
    </row>
    <row r="21" spans="2:24">
      <c r="B21" s="440">
        <v>45065</v>
      </c>
      <c r="C21" s="402">
        <v>545.79999999999995</v>
      </c>
      <c r="D21" s="423">
        <f t="shared" si="0"/>
        <v>0.74767123287671222</v>
      </c>
      <c r="F21" s="440">
        <v>45096</v>
      </c>
      <c r="G21" s="422">
        <v>585</v>
      </c>
      <c r="H21" s="423">
        <f t="shared" si="1"/>
        <v>0.80136986301369861</v>
      </c>
      <c r="J21" s="440">
        <v>45126</v>
      </c>
      <c r="K21" s="426">
        <v>730</v>
      </c>
      <c r="L21" s="423">
        <f t="shared" si="2"/>
        <v>1</v>
      </c>
      <c r="N21" s="440">
        <v>45157</v>
      </c>
      <c r="O21" s="434">
        <v>735</v>
      </c>
      <c r="P21" s="423">
        <f t="shared" si="5"/>
        <v>1.0068493150684932</v>
      </c>
      <c r="R21" s="440">
        <v>45243</v>
      </c>
      <c r="S21" s="435">
        <v>234</v>
      </c>
      <c r="T21" s="423">
        <f t="shared" si="6"/>
        <v>23.720547945205485</v>
      </c>
    </row>
    <row r="22" spans="2:24">
      <c r="B22" s="440">
        <v>45066</v>
      </c>
      <c r="C22" s="402">
        <v>545</v>
      </c>
      <c r="D22" s="423">
        <f t="shared" si="0"/>
        <v>0.74657534246575341</v>
      </c>
      <c r="F22" s="440">
        <v>45097</v>
      </c>
      <c r="G22" s="422">
        <v>585</v>
      </c>
      <c r="H22" s="423">
        <f t="shared" si="1"/>
        <v>0.80136986301369861</v>
      </c>
      <c r="J22" s="440">
        <v>45127</v>
      </c>
      <c r="K22" s="426">
        <v>730</v>
      </c>
      <c r="L22" s="423">
        <f t="shared" si="2"/>
        <v>1</v>
      </c>
      <c r="N22" s="440">
        <v>45158</v>
      </c>
      <c r="O22" s="434">
        <v>735</v>
      </c>
      <c r="P22" s="423">
        <f t="shared" si="5"/>
        <v>1.0068493150684932</v>
      </c>
      <c r="R22" s="440">
        <v>45242</v>
      </c>
      <c r="S22" s="435">
        <v>234</v>
      </c>
      <c r="T22" s="423">
        <f t="shared" si="6"/>
        <v>23.720547945205485</v>
      </c>
    </row>
    <row r="23" spans="2:24">
      <c r="B23" s="440">
        <v>45067</v>
      </c>
      <c r="C23" s="403">
        <v>545</v>
      </c>
      <c r="D23" s="423">
        <f>C23*1000*0.05%/365</f>
        <v>0.74657534246575341</v>
      </c>
      <c r="F23" s="440">
        <v>45098</v>
      </c>
      <c r="G23" s="422">
        <v>585</v>
      </c>
      <c r="H23" s="423">
        <f>G23*1000*0.05%/365</f>
        <v>0.80136986301369861</v>
      </c>
      <c r="J23" s="440">
        <v>45128</v>
      </c>
      <c r="K23" s="422">
        <v>735</v>
      </c>
      <c r="L23" s="423">
        <f>K23*1000*0.05%/365</f>
        <v>1.0068493150684932</v>
      </c>
      <c r="N23" s="440">
        <v>45159</v>
      </c>
      <c r="O23" s="402">
        <v>735</v>
      </c>
      <c r="P23" s="423">
        <f t="shared" si="5"/>
        <v>1.0068493150684932</v>
      </c>
      <c r="R23" s="440">
        <v>45241</v>
      </c>
      <c r="S23" s="435">
        <v>234</v>
      </c>
      <c r="T23" s="423">
        <f t="shared" si="6"/>
        <v>23.720547945205485</v>
      </c>
    </row>
    <row r="24" spans="2:24">
      <c r="B24" s="440">
        <v>45068</v>
      </c>
      <c r="C24" s="403">
        <v>545</v>
      </c>
      <c r="D24" s="423">
        <f t="shared" ref="D24:D32" si="7">C24*1000*0.05%/365</f>
        <v>0.74657534246575341</v>
      </c>
      <c r="F24" s="440">
        <v>45099</v>
      </c>
      <c r="G24" s="422">
        <v>585</v>
      </c>
      <c r="H24" s="423">
        <f t="shared" ref="H24:H32" si="8">G24*1000*0.05%/365</f>
        <v>0.80136986301369861</v>
      </c>
      <c r="J24" s="440">
        <v>45129</v>
      </c>
      <c r="K24" s="422">
        <v>735</v>
      </c>
      <c r="L24" s="423">
        <f t="shared" ref="L24:L32" si="9">K24*1000*0.05%/365</f>
        <v>1.0068493150684932</v>
      </c>
      <c r="N24" s="440">
        <v>45160</v>
      </c>
      <c r="O24" s="402">
        <v>735</v>
      </c>
      <c r="P24" s="423">
        <f t="shared" si="5"/>
        <v>1.0068493150684932</v>
      </c>
      <c r="R24" s="440">
        <v>45240</v>
      </c>
      <c r="S24" s="435">
        <v>234</v>
      </c>
      <c r="T24" s="423">
        <f t="shared" si="6"/>
        <v>23.720547945205485</v>
      </c>
    </row>
    <row r="25" spans="2:24" s="435" customFormat="1">
      <c r="B25" s="441">
        <v>45069</v>
      </c>
      <c r="C25" s="435">
        <v>545</v>
      </c>
      <c r="D25" s="437">
        <f t="shared" si="7"/>
        <v>0.74657534246575341</v>
      </c>
      <c r="F25" s="441">
        <v>45100</v>
      </c>
      <c r="G25" s="435">
        <v>585</v>
      </c>
      <c r="H25" s="437">
        <f t="shared" si="8"/>
        <v>0.80136986301369861</v>
      </c>
      <c r="J25" s="441">
        <v>45130</v>
      </c>
      <c r="K25" s="435">
        <v>735</v>
      </c>
      <c r="L25" s="437">
        <f t="shared" si="9"/>
        <v>1.0068493150684932</v>
      </c>
      <c r="N25" s="441">
        <v>45161</v>
      </c>
      <c r="O25" s="435">
        <v>738</v>
      </c>
      <c r="P25" s="437">
        <f t="shared" si="5"/>
        <v>1.010958904109589</v>
      </c>
      <c r="R25" s="440">
        <v>45239</v>
      </c>
      <c r="S25" s="435">
        <v>234</v>
      </c>
      <c r="T25" s="423">
        <f t="shared" si="6"/>
        <v>23.720547945205485</v>
      </c>
    </row>
    <row r="26" spans="2:24">
      <c r="B26" s="440">
        <v>45070</v>
      </c>
      <c r="C26" s="422">
        <v>550</v>
      </c>
      <c r="D26" s="423">
        <f t="shared" si="7"/>
        <v>0.75342465753424659</v>
      </c>
      <c r="F26" s="440">
        <v>45101</v>
      </c>
      <c r="G26" s="422">
        <v>585</v>
      </c>
      <c r="H26" s="423">
        <f t="shared" si="8"/>
        <v>0.80136986301369861</v>
      </c>
      <c r="J26" s="440">
        <v>45131</v>
      </c>
      <c r="K26" s="427">
        <v>735</v>
      </c>
      <c r="L26" s="423">
        <f t="shared" si="9"/>
        <v>1.0068493150684932</v>
      </c>
      <c r="N26" s="440">
        <v>45162</v>
      </c>
      <c r="O26" s="436">
        <v>738</v>
      </c>
      <c r="P26" s="423">
        <f t="shared" si="5"/>
        <v>1.010958904109589</v>
      </c>
      <c r="R26" s="440">
        <v>45238</v>
      </c>
      <c r="S26" s="443">
        <v>232</v>
      </c>
      <c r="T26" s="423">
        <f t="shared" si="6"/>
        <v>23.517808219178086</v>
      </c>
    </row>
    <row r="27" spans="2:24">
      <c r="B27" s="440">
        <v>45071</v>
      </c>
      <c r="C27" s="422">
        <v>550</v>
      </c>
      <c r="D27" s="423">
        <f t="shared" si="7"/>
        <v>0.75342465753424659</v>
      </c>
      <c r="F27" s="440">
        <v>45102</v>
      </c>
      <c r="G27" s="422">
        <v>585</v>
      </c>
      <c r="H27" s="423">
        <f t="shared" si="8"/>
        <v>0.80136986301369861</v>
      </c>
      <c r="J27" s="440">
        <v>45132</v>
      </c>
      <c r="K27" s="428">
        <v>740</v>
      </c>
      <c r="L27" s="423">
        <f t="shared" si="9"/>
        <v>1.0136986301369864</v>
      </c>
      <c r="N27" s="440">
        <v>45163</v>
      </c>
      <c r="O27" s="438">
        <v>748</v>
      </c>
      <c r="P27" s="423">
        <f t="shared" si="5"/>
        <v>1.0246575342465754</v>
      </c>
      <c r="R27" s="440">
        <v>45237</v>
      </c>
      <c r="S27" s="443">
        <v>220</v>
      </c>
      <c r="T27" s="423">
        <f t="shared" si="6"/>
        <v>22.301369863013701</v>
      </c>
    </row>
    <row r="28" spans="2:24">
      <c r="B28" s="440">
        <v>45072</v>
      </c>
      <c r="C28" s="422">
        <v>550</v>
      </c>
      <c r="D28" s="423">
        <f t="shared" si="7"/>
        <v>0.75342465753424659</v>
      </c>
      <c r="F28" s="440">
        <v>45103</v>
      </c>
      <c r="G28" s="422">
        <v>585</v>
      </c>
      <c r="H28" s="423">
        <f t="shared" si="8"/>
        <v>0.80136986301369861</v>
      </c>
      <c r="J28" s="440">
        <v>45133</v>
      </c>
      <c r="K28" s="430">
        <v>740</v>
      </c>
      <c r="L28" s="423">
        <f t="shared" si="9"/>
        <v>1.0136986301369864</v>
      </c>
      <c r="N28" s="440">
        <v>45164</v>
      </c>
      <c r="O28" s="442">
        <v>749</v>
      </c>
      <c r="P28" s="423">
        <f t="shared" si="5"/>
        <v>1.026027397260274</v>
      </c>
      <c r="R28" s="440">
        <v>45236</v>
      </c>
      <c r="S28" s="443">
        <v>220</v>
      </c>
      <c r="T28" s="423">
        <f t="shared" si="6"/>
        <v>22.301369863013701</v>
      </c>
    </row>
    <row r="29" spans="2:24">
      <c r="B29" s="440">
        <v>45073</v>
      </c>
      <c r="C29" s="422">
        <v>550</v>
      </c>
      <c r="D29" s="423">
        <f t="shared" si="7"/>
        <v>0.75342465753424659</v>
      </c>
      <c r="F29" s="440">
        <v>45104</v>
      </c>
      <c r="G29" s="422">
        <v>585</v>
      </c>
      <c r="H29" s="423">
        <f t="shared" si="8"/>
        <v>0.80136986301369861</v>
      </c>
      <c r="J29" s="440">
        <v>45134</v>
      </c>
      <c r="K29" s="430">
        <v>740</v>
      </c>
      <c r="L29" s="423">
        <f t="shared" si="9"/>
        <v>1.0136986301369864</v>
      </c>
      <c r="N29" s="440">
        <v>45165</v>
      </c>
      <c r="O29" s="443">
        <v>749</v>
      </c>
      <c r="P29" s="423">
        <f t="shared" si="5"/>
        <v>1.026027397260274</v>
      </c>
      <c r="R29" s="440">
        <v>45235</v>
      </c>
      <c r="S29" s="443">
        <v>240</v>
      </c>
      <c r="T29" s="423">
        <f t="shared" si="6"/>
        <v>24.328767123287676</v>
      </c>
      <c r="W29" t="s">
        <v>3158</v>
      </c>
    </row>
    <row r="30" spans="2:24">
      <c r="B30" s="440">
        <v>45074</v>
      </c>
      <c r="C30" s="422">
        <v>550</v>
      </c>
      <c r="D30" s="423">
        <f t="shared" si="7"/>
        <v>0.75342465753424659</v>
      </c>
      <c r="F30" s="440">
        <v>45105</v>
      </c>
      <c r="G30" s="422">
        <v>600</v>
      </c>
      <c r="H30" s="423">
        <f t="shared" si="8"/>
        <v>0.82191780821917804</v>
      </c>
      <c r="J30" s="440">
        <v>45135</v>
      </c>
      <c r="K30" s="430">
        <v>740</v>
      </c>
      <c r="L30" s="423">
        <f t="shared" si="9"/>
        <v>1.0136986301369864</v>
      </c>
      <c r="N30" s="440">
        <v>45166</v>
      </c>
      <c r="O30" s="402">
        <v>740</v>
      </c>
      <c r="P30" s="423">
        <f t="shared" si="5"/>
        <v>1.0136986301369864</v>
      </c>
      <c r="R30" s="440">
        <v>45234</v>
      </c>
      <c r="S30" s="443">
        <v>240</v>
      </c>
      <c r="T30" s="423">
        <f t="shared" si="6"/>
        <v>24.328767123287676</v>
      </c>
    </row>
    <row r="31" spans="2:24">
      <c r="B31" s="440">
        <v>45075</v>
      </c>
      <c r="C31" s="402">
        <v>550</v>
      </c>
      <c r="D31" s="423">
        <f t="shared" si="7"/>
        <v>0.75342465753424659</v>
      </c>
      <c r="F31" s="440">
        <v>45106</v>
      </c>
      <c r="G31" s="422">
        <v>600</v>
      </c>
      <c r="H31" s="423">
        <f t="shared" si="8"/>
        <v>0.82191780821917804</v>
      </c>
      <c r="J31" s="440">
        <v>45136</v>
      </c>
      <c r="K31" s="422">
        <v>750</v>
      </c>
      <c r="L31" s="423">
        <f t="shared" si="9"/>
        <v>1.0273972602739727</v>
      </c>
      <c r="N31" s="440">
        <v>45167</v>
      </c>
      <c r="O31" s="402">
        <v>604</v>
      </c>
      <c r="P31" s="423">
        <f t="shared" si="5"/>
        <v>0.82739726027397265</v>
      </c>
      <c r="R31" s="440">
        <v>45233</v>
      </c>
      <c r="S31" s="443">
        <v>200</v>
      </c>
      <c r="T31" s="423">
        <f t="shared" si="6"/>
        <v>20.273972602739729</v>
      </c>
      <c r="V31" s="440">
        <v>45233</v>
      </c>
      <c r="W31" s="443">
        <v>41</v>
      </c>
      <c r="X31" s="423">
        <f>W31*1000*3.5%/365</f>
        <v>3.9315068493150691</v>
      </c>
    </row>
    <row r="32" spans="2:24">
      <c r="B32" s="440">
        <v>45076</v>
      </c>
      <c r="C32" s="402">
        <v>585</v>
      </c>
      <c r="D32" s="423">
        <f t="shared" si="7"/>
        <v>0.80136986301369861</v>
      </c>
      <c r="F32" s="440">
        <v>45107</v>
      </c>
      <c r="G32" s="422">
        <v>600</v>
      </c>
      <c r="H32" s="423">
        <f t="shared" si="8"/>
        <v>0.82191780821917804</v>
      </c>
      <c r="J32" s="440">
        <v>45137</v>
      </c>
      <c r="K32" s="422">
        <v>750</v>
      </c>
      <c r="L32" s="423">
        <f t="shared" si="9"/>
        <v>1.0273972602739727</v>
      </c>
      <c r="N32" s="440">
        <v>45168</v>
      </c>
      <c r="O32" s="402">
        <v>471</v>
      </c>
      <c r="P32" s="423">
        <f t="shared" si="5"/>
        <v>0.64520547945205475</v>
      </c>
      <c r="R32" s="440">
        <v>45232</v>
      </c>
      <c r="S32" s="443">
        <v>0</v>
      </c>
      <c r="T32" s="423">
        <f t="shared" si="6"/>
        <v>0</v>
      </c>
      <c r="V32" s="440">
        <v>45232</v>
      </c>
      <c r="W32" s="443">
        <v>241</v>
      </c>
      <c r="X32" s="423">
        <f t="shared" ref="X32:X33" si="10">W32*1000*3.5%/365</f>
        <v>23.109589041095891</v>
      </c>
    </row>
    <row r="33" spans="1:24">
      <c r="B33" s="440">
        <v>45077</v>
      </c>
      <c r="C33" s="402">
        <v>585</v>
      </c>
      <c r="D33" s="423">
        <f t="shared" ref="D33" si="11">C33*1000*0.05/100/365</f>
        <v>0.80136986301369861</v>
      </c>
      <c r="J33" s="440">
        <v>45138</v>
      </c>
      <c r="K33" s="422">
        <v>750</v>
      </c>
      <c r="L33" s="423">
        <f t="shared" ref="L33" si="12">K33*1000*0.05/100/365</f>
        <v>1.0273972602739727</v>
      </c>
      <c r="N33" s="440">
        <v>45169</v>
      </c>
      <c r="O33" s="402">
        <v>480</v>
      </c>
      <c r="P33" s="423">
        <f t="shared" si="5"/>
        <v>0.65753424657534243</v>
      </c>
      <c r="R33" s="440">
        <v>45231</v>
      </c>
      <c r="S33" s="443">
        <v>0</v>
      </c>
      <c r="T33" s="423">
        <f t="shared" si="6"/>
        <v>0</v>
      </c>
      <c r="V33" s="440">
        <v>45231</v>
      </c>
      <c r="W33" s="443">
        <v>248</v>
      </c>
      <c r="X33" s="423">
        <f t="shared" si="10"/>
        <v>23.780821917808218</v>
      </c>
    </row>
    <row r="34" spans="1:24">
      <c r="V34" s="440"/>
      <c r="W34" s="632"/>
      <c r="X34" s="632"/>
    </row>
    <row r="35" spans="1:24">
      <c r="B35" s="440" t="s">
        <v>2783</v>
      </c>
      <c r="D35" s="317">
        <f>SUM(D3:D33)*88</f>
        <v>1895.7128767123286</v>
      </c>
      <c r="F35" s="440" t="s">
        <v>2783</v>
      </c>
      <c r="H35" s="317">
        <f>SUM(H3:H33)*88</f>
        <v>2121.0410958904108</v>
      </c>
      <c r="J35" s="440" t="s">
        <v>2783</v>
      </c>
      <c r="L35" s="317">
        <f>SUM(L3:L33)*88</f>
        <v>2597.8082191780818</v>
      </c>
      <c r="N35" s="440" t="s">
        <v>2783</v>
      </c>
      <c r="P35" s="317">
        <f>SUM(P3:P33)*88</f>
        <v>2650.7287671232875</v>
      </c>
      <c r="R35" s="440" t="s">
        <v>2783</v>
      </c>
      <c r="T35" s="317">
        <f>SUM(T3:T33)</f>
        <v>655.15342465753452</v>
      </c>
      <c r="V35" s="440" t="s">
        <v>2783</v>
      </c>
      <c r="W35" s="632"/>
      <c r="X35" s="317">
        <f>SUM(X3:X33)</f>
        <v>50.821917808219183</v>
      </c>
    </row>
    <row r="36" spans="1:24">
      <c r="A36" s="433"/>
      <c r="B36" s="440" t="s">
        <v>3044</v>
      </c>
      <c r="C36" s="433"/>
      <c r="D36" s="317">
        <f>'HIS19'!KQ21</f>
        <v>1895.66</v>
      </c>
      <c r="E36" s="433"/>
      <c r="F36" s="440" t="s">
        <v>3044</v>
      </c>
      <c r="G36" s="433"/>
      <c r="H36" s="317">
        <f>'HIS19'!KQ22</f>
        <v>2121.2199999999998</v>
      </c>
      <c r="I36" s="433"/>
      <c r="J36" s="440" t="s">
        <v>3044</v>
      </c>
      <c r="K36" s="433"/>
      <c r="L36" s="317">
        <f>'HIS19'!KQ23</f>
        <v>2597.87</v>
      </c>
      <c r="M36" s="433"/>
      <c r="N36" s="440" t="s">
        <v>3044</v>
      </c>
      <c r="O36" s="433"/>
      <c r="P36" s="317">
        <f>'HIS19'!KQ24</f>
        <v>2650.71</v>
      </c>
      <c r="R36" s="440" t="s">
        <v>3044</v>
      </c>
      <c r="T36" s="317">
        <v>655</v>
      </c>
      <c r="V36" s="440" t="s">
        <v>3044</v>
      </c>
      <c r="W36" s="632"/>
      <c r="X36" s="317">
        <v>53.66</v>
      </c>
    </row>
    <row r="37" spans="1:24" s="433" customFormat="1">
      <c r="A37"/>
      <c r="B37" s="440" t="s">
        <v>3071</v>
      </c>
      <c r="C37"/>
      <c r="D37" s="317">
        <f>D36-D35</f>
        <v>-5.2876712328497888E-2</v>
      </c>
      <c r="E37"/>
      <c r="F37" s="440" t="s">
        <v>3071</v>
      </c>
      <c r="G37" s="402"/>
      <c r="H37" s="317">
        <f>H36-H35</f>
        <v>0.17890410958898428</v>
      </c>
      <c r="I37" s="402"/>
      <c r="J37" s="440" t="s">
        <v>3071</v>
      </c>
      <c r="K37" s="402"/>
      <c r="L37" s="317">
        <f>L36-L35</f>
        <v>6.1780821918091533E-2</v>
      </c>
      <c r="M37" s="402"/>
      <c r="N37" s="440" t="s">
        <v>3071</v>
      </c>
      <c r="O37" s="402"/>
      <c r="P37" s="317">
        <f>P36-P35</f>
        <v>-1.8767123287489085E-2</v>
      </c>
      <c r="R37" s="440" t="s">
        <v>3071</v>
      </c>
      <c r="S37" s="609"/>
      <c r="T37" s="317">
        <f>T36-T35</f>
        <v>-0.15342465753451506</v>
      </c>
      <c r="V37" s="440" t="s">
        <v>3071</v>
      </c>
      <c r="W37" s="632"/>
      <c r="X37" s="317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0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7" t="s">
        <v>2662</v>
      </c>
      <c r="C2" s="397"/>
      <c r="D2" s="420" t="s">
        <v>2843</v>
      </c>
    </row>
    <row r="3" spans="2:10" ht="14.25">
      <c r="B3" s="240">
        <f t="shared" ref="B3:B33" si="0">MIN(D3,100000)</f>
        <v>100000</v>
      </c>
      <c r="C3" s="439"/>
      <c r="D3" s="419"/>
      <c r="E3" s="399">
        <f>VLOOKUP(D3,$H$5:$I$8,2)</f>
        <v>1.5E-3</v>
      </c>
    </row>
    <row r="4" spans="2:10" ht="14.25">
      <c r="B4" s="240">
        <f t="shared" si="0"/>
        <v>100000</v>
      </c>
      <c r="C4" s="439">
        <v>45260</v>
      </c>
      <c r="D4" s="429">
        <v>101636</v>
      </c>
      <c r="E4" s="399">
        <f>VLOOKUP(D4,$H$5:$I$8,2)</f>
        <v>4.0000000000000001E-3</v>
      </c>
      <c r="F4" s="399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9">
        <v>45259</v>
      </c>
      <c r="D5" s="429">
        <v>101636</v>
      </c>
      <c r="E5" s="399">
        <f t="shared" ref="E5:E33" si="1">VLOOKUP(D5,$H$5:$I$8,2)</f>
        <v>4.0000000000000001E-3</v>
      </c>
      <c r="F5" s="399"/>
      <c r="H5" s="378">
        <v>0</v>
      </c>
      <c r="I5" s="421">
        <v>1.5E-3</v>
      </c>
      <c r="J5" s="218" t="s">
        <v>2759</v>
      </c>
    </row>
    <row r="6" spans="2:10" ht="14.25">
      <c r="B6" s="240">
        <f t="shared" si="0"/>
        <v>100000</v>
      </c>
      <c r="C6" s="439">
        <v>45258</v>
      </c>
      <c r="D6" s="429">
        <v>101636</v>
      </c>
      <c r="E6" s="399">
        <f t="shared" si="1"/>
        <v>4.0000000000000001E-3</v>
      </c>
      <c r="F6" s="399"/>
      <c r="H6" s="378">
        <v>5000</v>
      </c>
      <c r="I6" s="421">
        <v>2E-3</v>
      </c>
      <c r="J6" s="218"/>
    </row>
    <row r="7" spans="2:10" ht="14.25">
      <c r="B7" s="240">
        <f t="shared" si="0"/>
        <v>100000</v>
      </c>
      <c r="C7" s="439">
        <v>45257</v>
      </c>
      <c r="D7" s="429">
        <v>101636</v>
      </c>
      <c r="E7" s="399">
        <f t="shared" si="1"/>
        <v>4.0000000000000001E-3</v>
      </c>
      <c r="F7" s="399"/>
      <c r="H7" s="378">
        <v>20000</v>
      </c>
      <c r="I7" s="421">
        <v>3.0000000000000001E-3</v>
      </c>
      <c r="J7" s="218"/>
    </row>
    <row r="8" spans="2:10" ht="14.25">
      <c r="B8" s="240">
        <f t="shared" si="0"/>
        <v>100000</v>
      </c>
      <c r="C8" s="439">
        <v>45256</v>
      </c>
      <c r="D8" s="429">
        <v>101636</v>
      </c>
      <c r="E8" s="399">
        <f>VLOOKUP(D8,$H$5:$I$8,2)</f>
        <v>4.0000000000000001E-3</v>
      </c>
      <c r="F8" s="399"/>
      <c r="H8" s="378">
        <v>100000</v>
      </c>
      <c r="I8" s="421">
        <v>4.0000000000000001E-3</v>
      </c>
      <c r="J8" s="218" t="s">
        <v>2758</v>
      </c>
    </row>
    <row r="9" spans="2:10" ht="14.25">
      <c r="B9" s="240">
        <f t="shared" si="0"/>
        <v>100000</v>
      </c>
      <c r="C9" s="439">
        <v>45255</v>
      </c>
      <c r="D9" s="429">
        <v>101636</v>
      </c>
      <c r="E9" s="399">
        <f t="shared" si="1"/>
        <v>4.0000000000000001E-3</v>
      </c>
      <c r="F9" s="399"/>
      <c r="H9" s="218"/>
      <c r="I9" s="218"/>
      <c r="J9" s="218"/>
    </row>
    <row r="10" spans="2:10" ht="14.25">
      <c r="B10" s="240">
        <f t="shared" si="0"/>
        <v>100000</v>
      </c>
      <c r="C10" s="439">
        <v>45254</v>
      </c>
      <c r="D10" s="429">
        <v>101636</v>
      </c>
      <c r="E10" s="399">
        <f t="shared" si="1"/>
        <v>4.0000000000000001E-3</v>
      </c>
      <c r="F10" s="399"/>
    </row>
    <row r="11" spans="2:10" ht="14.25">
      <c r="B11" s="240">
        <f t="shared" si="0"/>
        <v>100000</v>
      </c>
      <c r="C11" s="439">
        <v>45253</v>
      </c>
      <c r="D11" s="429">
        <v>101636</v>
      </c>
      <c r="E11" s="399">
        <f>VLOOKUP(D11,$H$5:$I$8,2)</f>
        <v>4.0000000000000001E-3</v>
      </c>
      <c r="F11" s="399"/>
    </row>
    <row r="12" spans="2:10" ht="14.25">
      <c r="B12" s="240">
        <f t="shared" si="0"/>
        <v>100000</v>
      </c>
      <c r="C12" s="439">
        <v>45252</v>
      </c>
      <c r="D12" s="429">
        <v>101636</v>
      </c>
      <c r="E12" s="399">
        <f t="shared" si="1"/>
        <v>4.0000000000000001E-3</v>
      </c>
      <c r="F12" s="399"/>
    </row>
    <row r="13" spans="2:10" ht="14.25">
      <c r="B13" s="240">
        <f t="shared" si="0"/>
        <v>100000</v>
      </c>
      <c r="C13" s="439">
        <v>45251</v>
      </c>
      <c r="D13" s="429">
        <v>101636</v>
      </c>
      <c r="E13" s="399">
        <f t="shared" si="1"/>
        <v>4.0000000000000001E-3</v>
      </c>
      <c r="F13" s="399"/>
    </row>
    <row r="14" spans="2:10" ht="14.25">
      <c r="B14" s="240">
        <f t="shared" si="0"/>
        <v>100000</v>
      </c>
      <c r="C14" s="439">
        <v>45250</v>
      </c>
      <c r="D14" s="429">
        <v>101636</v>
      </c>
      <c r="E14" s="399">
        <f t="shared" si="1"/>
        <v>4.0000000000000001E-3</v>
      </c>
      <c r="F14" s="399"/>
    </row>
    <row r="15" spans="2:10" ht="14.25">
      <c r="B15" s="240">
        <f t="shared" si="0"/>
        <v>100000</v>
      </c>
      <c r="C15" s="439">
        <v>45249</v>
      </c>
      <c r="D15" s="429">
        <v>101636</v>
      </c>
      <c r="E15" s="399">
        <f t="shared" si="1"/>
        <v>4.0000000000000001E-3</v>
      </c>
      <c r="F15" s="399"/>
    </row>
    <row r="16" spans="2:10" ht="14.25">
      <c r="B16" s="240">
        <f t="shared" si="0"/>
        <v>100000</v>
      </c>
      <c r="C16" s="439">
        <v>45248</v>
      </c>
      <c r="D16" s="429">
        <v>101636</v>
      </c>
      <c r="E16" s="399">
        <f t="shared" si="1"/>
        <v>4.0000000000000001E-3</v>
      </c>
      <c r="F16" s="399"/>
    </row>
    <row r="17" spans="2:11" ht="14.25">
      <c r="B17" s="240">
        <f t="shared" si="0"/>
        <v>100000</v>
      </c>
      <c r="C17" s="439">
        <v>45247</v>
      </c>
      <c r="D17" s="429">
        <v>101636</v>
      </c>
      <c r="E17" s="399">
        <f t="shared" si="1"/>
        <v>4.0000000000000001E-3</v>
      </c>
      <c r="F17" s="399"/>
    </row>
    <row r="18" spans="2:11" ht="14.25">
      <c r="B18" s="240">
        <f t="shared" si="0"/>
        <v>100000</v>
      </c>
      <c r="C18" s="439">
        <v>45246</v>
      </c>
      <c r="D18" s="429">
        <v>101636</v>
      </c>
      <c r="E18" s="399">
        <f t="shared" si="1"/>
        <v>4.0000000000000001E-3</v>
      </c>
      <c r="F18" s="399"/>
    </row>
    <row r="19" spans="2:11" ht="14.25">
      <c r="B19" s="240">
        <f t="shared" si="0"/>
        <v>100000</v>
      </c>
      <c r="C19" s="439">
        <v>45245</v>
      </c>
      <c r="D19" s="429">
        <v>101636</v>
      </c>
      <c r="E19" s="399">
        <f>VLOOKUP(D19,$H$5:$I$8,2)</f>
        <v>4.0000000000000001E-3</v>
      </c>
      <c r="F19" s="399"/>
    </row>
    <row r="20" spans="2:11" ht="14.25">
      <c r="B20" s="240">
        <f t="shared" si="0"/>
        <v>100000</v>
      </c>
      <c r="C20" s="439">
        <v>45244</v>
      </c>
      <c r="D20" s="429">
        <v>101636</v>
      </c>
      <c r="E20" s="399">
        <f t="shared" si="1"/>
        <v>4.0000000000000001E-3</v>
      </c>
      <c r="F20" s="399"/>
    </row>
    <row r="21" spans="2:11" ht="14.25">
      <c r="B21" s="240">
        <f t="shared" si="0"/>
        <v>100000</v>
      </c>
      <c r="C21" s="439">
        <v>45243</v>
      </c>
      <c r="D21" s="429">
        <v>101636</v>
      </c>
      <c r="E21" s="399">
        <f t="shared" si="1"/>
        <v>4.0000000000000001E-3</v>
      </c>
      <c r="F21" s="399"/>
    </row>
    <row r="22" spans="2:11" ht="14.25">
      <c r="B22" s="240">
        <f t="shared" si="0"/>
        <v>100000</v>
      </c>
      <c r="C22" s="439">
        <v>45242</v>
      </c>
      <c r="D22" s="429">
        <v>101636</v>
      </c>
      <c r="E22" s="399">
        <f t="shared" si="1"/>
        <v>4.0000000000000001E-3</v>
      </c>
      <c r="F22" s="399"/>
    </row>
    <row r="23" spans="2:11" ht="14.25">
      <c r="B23" s="240">
        <f t="shared" si="0"/>
        <v>100000</v>
      </c>
      <c r="C23" s="439">
        <v>45241</v>
      </c>
      <c r="D23" s="429">
        <v>101636</v>
      </c>
      <c r="E23" s="399">
        <f t="shared" si="1"/>
        <v>4.0000000000000001E-3</v>
      </c>
      <c r="F23" s="399"/>
    </row>
    <row r="24" spans="2:11" ht="14.25">
      <c r="B24" s="240">
        <f t="shared" si="0"/>
        <v>100000</v>
      </c>
      <c r="C24" s="439">
        <v>45240</v>
      </c>
      <c r="D24" s="429">
        <v>101636</v>
      </c>
      <c r="E24" s="399">
        <f t="shared" si="1"/>
        <v>4.0000000000000001E-3</v>
      </c>
      <c r="F24" s="399"/>
    </row>
    <row r="25" spans="2:11" ht="14.25">
      <c r="B25" s="240">
        <f t="shared" si="0"/>
        <v>100000</v>
      </c>
      <c r="C25" s="439">
        <v>45239</v>
      </c>
      <c r="D25" s="429">
        <v>101636</v>
      </c>
      <c r="E25" s="399">
        <f t="shared" si="1"/>
        <v>4.0000000000000001E-3</v>
      </c>
      <c r="F25" s="399"/>
    </row>
    <row r="26" spans="2:11" ht="14.25">
      <c r="B26" s="240">
        <f t="shared" si="0"/>
        <v>100000</v>
      </c>
      <c r="C26" s="439">
        <v>45238</v>
      </c>
      <c r="D26" s="459">
        <v>100000</v>
      </c>
      <c r="E26" s="399">
        <f t="shared" si="1"/>
        <v>4.0000000000000001E-3</v>
      </c>
      <c r="F26" s="399"/>
    </row>
    <row r="27" spans="2:11" ht="14.25">
      <c r="B27" s="240">
        <f t="shared" si="0"/>
        <v>100000</v>
      </c>
      <c r="C27" s="439">
        <v>45237</v>
      </c>
      <c r="D27" s="459">
        <v>100000</v>
      </c>
      <c r="E27" s="399">
        <f t="shared" si="1"/>
        <v>4.0000000000000001E-3</v>
      </c>
      <c r="F27" s="399"/>
    </row>
    <row r="28" spans="2:11" ht="14.25">
      <c r="B28" s="240">
        <f t="shared" si="0"/>
        <v>100000</v>
      </c>
      <c r="C28" s="439">
        <v>45236</v>
      </c>
      <c r="D28" s="459">
        <v>100000</v>
      </c>
      <c r="E28" s="399">
        <f t="shared" si="1"/>
        <v>4.0000000000000001E-3</v>
      </c>
      <c r="F28" s="399"/>
    </row>
    <row r="29" spans="2:11" ht="14.25">
      <c r="B29" s="240">
        <f t="shared" si="0"/>
        <v>100000</v>
      </c>
      <c r="C29" s="439">
        <v>45235</v>
      </c>
      <c r="D29" s="459">
        <v>100000</v>
      </c>
      <c r="E29" s="399">
        <f t="shared" si="1"/>
        <v>4.0000000000000001E-3</v>
      </c>
      <c r="F29" s="399"/>
      <c r="H29" s="341" t="s">
        <v>2584</v>
      </c>
      <c r="I29" s="341" t="s">
        <v>2585</v>
      </c>
      <c r="J29" s="341" t="s">
        <v>2663</v>
      </c>
      <c r="K29" s="341" t="s">
        <v>2586</v>
      </c>
    </row>
    <row r="30" spans="2:11" ht="14.25">
      <c r="B30" s="240">
        <f t="shared" si="0"/>
        <v>100000</v>
      </c>
      <c r="C30" s="439">
        <v>45234</v>
      </c>
      <c r="D30" s="459">
        <v>100000</v>
      </c>
      <c r="E30" s="399">
        <f t="shared" si="1"/>
        <v>4.0000000000000001E-3</v>
      </c>
      <c r="F30" s="399"/>
      <c r="H30" s="399">
        <v>2.5000000000000001E-2</v>
      </c>
      <c r="I30" s="399">
        <v>8.9999999999999993E-3</v>
      </c>
      <c r="J30" s="399">
        <v>8.0000000000000002E-3</v>
      </c>
      <c r="K30" s="399"/>
    </row>
    <row r="31" spans="2:11" ht="14.25">
      <c r="B31" s="240">
        <f t="shared" si="0"/>
        <v>100000</v>
      </c>
      <c r="C31" s="439">
        <v>45233</v>
      </c>
      <c r="D31" s="459">
        <v>100000</v>
      </c>
      <c r="E31" s="399">
        <f t="shared" si="1"/>
        <v>4.0000000000000001E-3</v>
      </c>
      <c r="F31" s="399"/>
      <c r="H31" s="400">
        <f>$B$35</f>
        <v>100000</v>
      </c>
      <c r="I31" s="400">
        <f>$B$35</f>
        <v>100000</v>
      </c>
      <c r="J31" s="400">
        <f>$B$35</f>
        <v>100000</v>
      </c>
    </row>
    <row r="32" spans="2:11" ht="14.25">
      <c r="B32" s="240">
        <f t="shared" si="0"/>
        <v>100000</v>
      </c>
      <c r="C32" s="439">
        <v>45232</v>
      </c>
      <c r="D32" s="459">
        <v>100000</v>
      </c>
      <c r="E32" s="399">
        <f t="shared" si="1"/>
        <v>4.0000000000000001E-3</v>
      </c>
      <c r="F32" s="399"/>
      <c r="H32" s="341" t="s">
        <v>3165</v>
      </c>
      <c r="I32" s="637" t="s">
        <v>3165</v>
      </c>
      <c r="J32" s="637" t="s">
        <v>3165</v>
      </c>
    </row>
    <row r="33" spans="2:11" ht="14.25">
      <c r="B33" s="240">
        <f t="shared" si="0"/>
        <v>100000</v>
      </c>
      <c r="C33" s="439">
        <v>45231</v>
      </c>
      <c r="D33" s="459">
        <v>100000</v>
      </c>
      <c r="E33" s="399">
        <f t="shared" si="1"/>
        <v>4.0000000000000001E-3</v>
      </c>
      <c r="F33" s="399"/>
      <c r="H33" s="341">
        <f>H30*H31/365*30</f>
        <v>205.47945205479451</v>
      </c>
      <c r="I33" s="636">
        <f t="shared" ref="I33:J33" si="2">I30*I31/365*30</f>
        <v>73.972602739726014</v>
      </c>
      <c r="J33" s="636">
        <f t="shared" si="2"/>
        <v>65.753424657534239</v>
      </c>
      <c r="K33" s="400">
        <f>D35</f>
        <v>33.271145205479449</v>
      </c>
    </row>
    <row r="34" spans="2:11">
      <c r="B34" s="240"/>
      <c r="C34" s="398"/>
      <c r="D34" s="404"/>
      <c r="E34" s="399"/>
      <c r="F34" s="399"/>
      <c r="G34" s="341" t="s">
        <v>2676</v>
      </c>
      <c r="H34" s="341">
        <v>205</v>
      </c>
      <c r="I34" s="341">
        <v>74</v>
      </c>
      <c r="J34" s="341">
        <v>66</v>
      </c>
      <c r="K34" s="634">
        <v>33</v>
      </c>
    </row>
    <row r="35" spans="2:11">
      <c r="B35" s="400">
        <f>AVERAGE(B3:B33)</f>
        <v>100000</v>
      </c>
      <c r="D35" s="719">
        <f>SUMPRODUCT(D3:D33,E3:E33)/365</f>
        <v>33.271145205479449</v>
      </c>
      <c r="E35" s="719"/>
      <c r="F35" s="401"/>
    </row>
    <row r="36" spans="2:11">
      <c r="B36" s="397" t="s">
        <v>2681</v>
      </c>
      <c r="D36" s="719" t="s">
        <v>2671</v>
      </c>
      <c r="E36" s="719"/>
      <c r="F36" s="401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6" customWidth="1"/>
    <col min="2" max="2" width="9.140625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44" customWidth="1"/>
  </cols>
  <sheetData>
    <row r="2" spans="2:9" s="386" customFormat="1" ht="25.5">
      <c r="B2" s="389" t="s">
        <v>3187</v>
      </c>
      <c r="C2" s="388" t="s">
        <v>311</v>
      </c>
      <c r="D2" s="389" t="s">
        <v>2609</v>
      </c>
      <c r="E2" s="390" t="s">
        <v>2607</v>
      </c>
      <c r="F2" s="390" t="s">
        <v>2631</v>
      </c>
      <c r="G2" s="390" t="s">
        <v>2608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9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4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50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50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1">
        <v>5000</v>
      </c>
      <c r="D7" s="226">
        <v>84000</v>
      </c>
      <c r="E7" s="226">
        <v>8848</v>
      </c>
      <c r="F7" s="650" t="s">
        <v>2630</v>
      </c>
      <c r="G7" s="391">
        <f>SUM(B7:E7)</f>
        <v>110956.48</v>
      </c>
      <c r="H7" s="81">
        <v>44548</v>
      </c>
      <c r="I7" s="63"/>
    </row>
    <row r="8" spans="2:9" s="386" customFormat="1">
      <c r="B8" s="226"/>
      <c r="C8" s="226" t="s">
        <v>2611</v>
      </c>
      <c r="D8" s="226"/>
      <c r="E8" s="226"/>
      <c r="F8" s="394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50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50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50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50" t="s">
        <v>2630</v>
      </c>
      <c r="G12" s="226">
        <f t="shared" si="1"/>
        <v>109175.48</v>
      </c>
      <c r="H12" s="81">
        <v>44701</v>
      </c>
      <c r="I12" s="63" t="s">
        <v>3199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50" t="s">
        <v>2630</v>
      </c>
      <c r="G13" s="226">
        <f t="shared" si="1"/>
        <v>110985.48</v>
      </c>
      <c r="H13" s="81">
        <v>44727</v>
      </c>
      <c r="I13" s="63" t="s">
        <v>3200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50" t="s">
        <v>2630</v>
      </c>
      <c r="G14" s="226">
        <f t="shared" si="1"/>
        <v>106859.48</v>
      </c>
      <c r="H14" s="81">
        <v>44788</v>
      </c>
      <c r="I14" s="63" t="s">
        <v>3201</v>
      </c>
    </row>
    <row r="15" spans="2:9" s="386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50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6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50" t="s">
        <v>2630</v>
      </c>
      <c r="G16" s="226">
        <f t="shared" si="2"/>
        <v>101303.48</v>
      </c>
      <c r="H16" s="81">
        <v>44880</v>
      </c>
      <c r="I16" s="63"/>
    </row>
    <row r="17" spans="2:9" s="386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50" t="s">
        <v>2630</v>
      </c>
      <c r="G17" s="226">
        <f t="shared" si="2"/>
        <v>99359.48</v>
      </c>
      <c r="H17" s="81">
        <v>44910</v>
      </c>
      <c r="I17" s="63" t="s">
        <v>3201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50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50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50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4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50" t="s">
        <v>2630</v>
      </c>
      <c r="G21" s="226">
        <f t="shared" ref="G21:G22" si="3">SUM(B21:E21)</f>
        <v>107108.48</v>
      </c>
      <c r="H21" s="81">
        <v>45168</v>
      </c>
      <c r="I21" s="63" t="s">
        <v>3196</v>
      </c>
    </row>
    <row r="22" spans="2:9" s="424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50" t="s">
        <v>2630</v>
      </c>
      <c r="G22" s="226">
        <f t="shared" si="3"/>
        <v>105108.48</v>
      </c>
      <c r="H22" s="81">
        <v>45285</v>
      </c>
      <c r="I22" s="63" t="s">
        <v>3198</v>
      </c>
    </row>
    <row r="23" spans="2:9">
      <c r="B23" s="226"/>
      <c r="C23" s="63" t="s">
        <v>3197</v>
      </c>
      <c r="D23" s="226"/>
      <c r="E23" s="226"/>
      <c r="F23" s="394"/>
      <c r="G23" s="226"/>
      <c r="H23" s="63"/>
      <c r="I23" s="63"/>
    </row>
    <row r="24" spans="2:9">
      <c r="B24" s="2"/>
      <c r="C24" s="2"/>
      <c r="D24" s="2"/>
      <c r="E24" s="2"/>
      <c r="F24" s="651"/>
      <c r="G24" s="2"/>
    </row>
    <row r="25" spans="2:9">
      <c r="B25" s="2"/>
      <c r="C25" s="2"/>
      <c r="D25" s="2"/>
      <c r="E25" s="2"/>
      <c r="F25" s="651"/>
      <c r="G25" s="2"/>
    </row>
    <row r="26" spans="2:9">
      <c r="B26" s="2"/>
      <c r="C26" s="2"/>
      <c r="D26" s="2"/>
      <c r="E26" s="2"/>
      <c r="F26" s="651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7" t="s">
        <v>2754</v>
      </c>
      <c r="D2" t="s">
        <v>461</v>
      </c>
    </row>
    <row r="3" spans="1:4">
      <c r="A3" s="418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6">
        <f>C4+B5</f>
        <v>11000</v>
      </c>
      <c r="D5" s="416" t="s">
        <v>2750</v>
      </c>
    </row>
    <row r="6" spans="1:4">
      <c r="B6">
        <v>2000</v>
      </c>
      <c r="C6" s="416">
        <f>C5+B6</f>
        <v>13000</v>
      </c>
      <c r="D6" t="s">
        <v>2749</v>
      </c>
    </row>
    <row r="7" spans="1:4">
      <c r="B7">
        <v>2000</v>
      </c>
      <c r="C7" s="416">
        <f>C6+B7</f>
        <v>15000</v>
      </c>
      <c r="D7" s="416" t="s">
        <v>2749</v>
      </c>
    </row>
    <row r="8" spans="1:4">
      <c r="A8" s="418">
        <v>45098</v>
      </c>
      <c r="B8">
        <v>-12700</v>
      </c>
      <c r="D8" t="s">
        <v>2751</v>
      </c>
    </row>
    <row r="9" spans="1:4">
      <c r="C9" s="416">
        <f>C7+B8</f>
        <v>2300</v>
      </c>
      <c r="D9" t="s">
        <v>2755</v>
      </c>
    </row>
    <row r="10" spans="1:4">
      <c r="A10" s="418">
        <v>45106</v>
      </c>
      <c r="B10">
        <v>-1410</v>
      </c>
      <c r="C10" s="416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D29" sqref="D29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3049</v>
      </c>
      <c r="D3" t="s">
        <v>423</v>
      </c>
    </row>
    <row r="4" spans="2:4">
      <c r="B4" t="s">
        <v>3055</v>
      </c>
      <c r="C4" t="s">
        <v>3050</v>
      </c>
      <c r="D4" t="s">
        <v>3093</v>
      </c>
    </row>
    <row r="5" spans="2:4">
      <c r="B5" t="s">
        <v>3052</v>
      </c>
      <c r="C5" t="s">
        <v>3051</v>
      </c>
    </row>
    <row r="6" spans="2:4">
      <c r="C6" t="s">
        <v>3053</v>
      </c>
      <c r="D6" t="s">
        <v>315</v>
      </c>
    </row>
    <row r="7" spans="2:4" ht="25.5">
      <c r="C7" s="417" t="s">
        <v>3095</v>
      </c>
      <c r="D7" t="s">
        <v>3054</v>
      </c>
    </row>
    <row r="8" spans="2:4">
      <c r="C8" t="s">
        <v>3056</v>
      </c>
    </row>
    <row r="9" spans="2:4">
      <c r="C9" t="s">
        <v>2756</v>
      </c>
      <c r="D9" t="s">
        <v>3094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64" t="s">
        <v>124</v>
      </c>
      <c r="C1" s="664"/>
      <c r="D1" s="667" t="s">
        <v>292</v>
      </c>
      <c r="E1" s="667"/>
      <c r="F1" s="667" t="s">
        <v>341</v>
      </c>
      <c r="G1" s="667"/>
      <c r="H1" s="665" t="s">
        <v>127</v>
      </c>
      <c r="I1" s="665"/>
      <c r="J1" s="661" t="s">
        <v>292</v>
      </c>
      <c r="K1" s="661"/>
      <c r="L1" s="666" t="s">
        <v>520</v>
      </c>
      <c r="M1" s="666"/>
      <c r="N1" s="665" t="s">
        <v>146</v>
      </c>
      <c r="O1" s="665"/>
      <c r="P1" s="661" t="s">
        <v>293</v>
      </c>
      <c r="Q1" s="661"/>
      <c r="R1" s="666" t="s">
        <v>522</v>
      </c>
      <c r="S1" s="666"/>
      <c r="T1" s="655" t="s">
        <v>193</v>
      </c>
      <c r="U1" s="655"/>
      <c r="V1" s="661" t="s">
        <v>292</v>
      </c>
      <c r="W1" s="661"/>
      <c r="X1" s="660" t="s">
        <v>524</v>
      </c>
      <c r="Y1" s="660"/>
      <c r="Z1" s="655" t="s">
        <v>241</v>
      </c>
      <c r="AA1" s="655"/>
      <c r="AB1" s="662" t="s">
        <v>292</v>
      </c>
      <c r="AC1" s="662"/>
      <c r="AD1" s="663" t="s">
        <v>524</v>
      </c>
      <c r="AE1" s="663"/>
      <c r="AF1" s="655" t="s">
        <v>367</v>
      </c>
      <c r="AG1" s="655"/>
      <c r="AH1" s="662" t="s">
        <v>292</v>
      </c>
      <c r="AI1" s="662"/>
      <c r="AJ1" s="660" t="s">
        <v>530</v>
      </c>
      <c r="AK1" s="660"/>
      <c r="AL1" s="655" t="s">
        <v>389</v>
      </c>
      <c r="AM1" s="655"/>
      <c r="AN1" s="672" t="s">
        <v>292</v>
      </c>
      <c r="AO1" s="672"/>
      <c r="AP1" s="670" t="s">
        <v>531</v>
      </c>
      <c r="AQ1" s="670"/>
      <c r="AR1" s="655" t="s">
        <v>416</v>
      </c>
      <c r="AS1" s="655"/>
      <c r="AV1" s="670" t="s">
        <v>285</v>
      </c>
      <c r="AW1" s="670"/>
      <c r="AX1" s="673" t="s">
        <v>998</v>
      </c>
      <c r="AY1" s="673"/>
      <c r="AZ1" s="673"/>
      <c r="BA1" s="207"/>
      <c r="BB1" s="668">
        <v>42942</v>
      </c>
      <c r="BC1" s="669"/>
      <c r="BD1" s="66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4" t="s">
        <v>261</v>
      </c>
      <c r="U4" s="654"/>
      <c r="X4" s="119" t="s">
        <v>233</v>
      </c>
      <c r="Y4" s="123">
        <f>Y3-Y6</f>
        <v>4.9669099999591708</v>
      </c>
      <c r="Z4" s="654" t="s">
        <v>262</v>
      </c>
      <c r="AA4" s="654"/>
      <c r="AD4" s="154" t="s">
        <v>233</v>
      </c>
      <c r="AE4" s="154">
        <f>AE3-AE5</f>
        <v>-52.526899999851594</v>
      </c>
      <c r="AF4" s="654" t="s">
        <v>262</v>
      </c>
      <c r="AG4" s="654"/>
      <c r="AH4" s="143"/>
      <c r="AI4" s="143"/>
      <c r="AJ4" s="154" t="s">
        <v>233</v>
      </c>
      <c r="AK4" s="154">
        <f>AK3-AK5</f>
        <v>94.988909999992757</v>
      </c>
      <c r="AL4" s="654" t="s">
        <v>262</v>
      </c>
      <c r="AM4" s="654"/>
      <c r="AP4" s="170" t="s">
        <v>233</v>
      </c>
      <c r="AQ4" s="174">
        <f>AQ3-AQ5</f>
        <v>33.841989999942598</v>
      </c>
      <c r="AR4" s="654" t="s">
        <v>262</v>
      </c>
      <c r="AS4" s="654"/>
      <c r="AX4" s="654" t="s">
        <v>564</v>
      </c>
      <c r="AY4" s="654"/>
      <c r="BB4" s="654" t="s">
        <v>567</v>
      </c>
      <c r="BC4" s="65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4"/>
      <c r="U5" s="654"/>
      <c r="V5" s="3" t="s">
        <v>258</v>
      </c>
      <c r="W5">
        <v>2050</v>
      </c>
      <c r="X5" s="82"/>
      <c r="Z5" s="654"/>
      <c r="AA5" s="65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4"/>
      <c r="AG5" s="654"/>
      <c r="AH5" s="143"/>
      <c r="AI5" s="143"/>
      <c r="AJ5" s="154" t="s">
        <v>352</v>
      </c>
      <c r="AK5" s="162">
        <f>SUM(AK11:AK59)</f>
        <v>30858.011000000002</v>
      </c>
      <c r="AL5" s="654"/>
      <c r="AM5" s="65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4"/>
      <c r="AS5" s="654"/>
      <c r="AX5" s="654"/>
      <c r="AY5" s="654"/>
      <c r="BB5" s="654"/>
      <c r="BC5" s="654"/>
      <c r="BD5" s="671" t="s">
        <v>999</v>
      </c>
      <c r="BE5" s="671"/>
      <c r="BF5" s="671"/>
      <c r="BG5" s="671"/>
      <c r="BH5" s="671"/>
      <c r="BI5" s="671"/>
      <c r="BJ5" s="671"/>
      <c r="BK5" s="67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56" t="s">
        <v>264</v>
      </c>
      <c r="W23" s="65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58"/>
      <c r="W24" s="65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74" t="s">
        <v>2565</v>
      </c>
      <c r="H3" s="675"/>
      <c r="I3" s="346"/>
      <c r="J3" s="674" t="s">
        <v>2566</v>
      </c>
      <c r="K3" s="675"/>
      <c r="L3" s="273"/>
      <c r="M3" s="674">
        <v>43739</v>
      </c>
      <c r="N3" s="675"/>
      <c r="O3" s="674">
        <v>42401</v>
      </c>
      <c r="P3" s="67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8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8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8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8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8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5">
        <v>5000</v>
      </c>
      <c r="P22" s="63"/>
    </row>
    <row r="23" spans="2:16">
      <c r="B23" s="63" t="s">
        <v>315</v>
      </c>
      <c r="C23" s="68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8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5">
        <v>142000</v>
      </c>
      <c r="P24" s="63"/>
    </row>
    <row r="25" spans="2:16">
      <c r="B25" s="63" t="s">
        <v>322</v>
      </c>
      <c r="C25" s="68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8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5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8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5">
        <v>20000</v>
      </c>
      <c r="P33" s="63"/>
    </row>
    <row r="34" spans="2:16" s="366" customFormat="1">
      <c r="B34" s="63"/>
      <c r="C34" s="71"/>
      <c r="D34" s="68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9">
        <f>G40/F42+H40</f>
        <v>1932511.2781954887</v>
      </c>
      <c r="H43" s="67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8">
        <f>H40*F42+G40</f>
        <v>2570240</v>
      </c>
      <c r="H44" s="678"/>
      <c r="I44" s="2"/>
      <c r="J44" s="678">
        <f>K40*1.37+J40</f>
        <v>1877697.6600000001</v>
      </c>
      <c r="K44" s="678"/>
      <c r="L44" s="2"/>
      <c r="M44" s="678">
        <f>N40*1.37+M40</f>
        <v>1789659</v>
      </c>
      <c r="N44" s="678"/>
      <c r="O44" s="678">
        <f>P40*1.36+O40</f>
        <v>1320187.2</v>
      </c>
      <c r="P44" s="67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7" t="s">
        <v>1186</v>
      </c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</row>
    <row r="48" spans="2:16">
      <c r="B48" s="677" t="s">
        <v>2469</v>
      </c>
      <c r="C48" s="677"/>
      <c r="D48" s="677"/>
      <c r="E48" s="677"/>
      <c r="F48" s="677"/>
      <c r="G48" s="677"/>
      <c r="H48" s="677"/>
      <c r="I48" s="677"/>
      <c r="J48" s="677"/>
      <c r="K48" s="677"/>
      <c r="L48" s="677"/>
      <c r="M48" s="677"/>
      <c r="N48" s="677"/>
    </row>
    <row r="49" spans="2:14">
      <c r="B49" s="677" t="s">
        <v>2468</v>
      </c>
      <c r="C49" s="677"/>
      <c r="D49" s="677"/>
      <c r="E49" s="677"/>
      <c r="F49" s="677"/>
      <c r="G49" s="677"/>
      <c r="H49" s="677"/>
      <c r="I49" s="677"/>
      <c r="J49" s="677"/>
      <c r="K49" s="677"/>
      <c r="L49" s="677"/>
      <c r="M49" s="677"/>
      <c r="N49" s="677"/>
    </row>
    <row r="50" spans="2:14">
      <c r="B50" s="676" t="s">
        <v>2467</v>
      </c>
      <c r="C50" s="676"/>
      <c r="D50" s="676"/>
      <c r="E50" s="676"/>
      <c r="F50" s="676"/>
      <c r="G50" s="676"/>
      <c r="H50" s="676"/>
      <c r="I50" s="676"/>
      <c r="J50" s="676"/>
      <c r="K50" s="676"/>
      <c r="L50" s="676"/>
      <c r="M50" s="676"/>
      <c r="N50" s="676"/>
    </row>
    <row r="51" spans="2:14">
      <c r="B51" s="676"/>
      <c r="C51" s="676"/>
      <c r="D51" s="676"/>
      <c r="E51" s="676"/>
      <c r="F51" s="676"/>
      <c r="G51" s="676"/>
      <c r="H51" s="676"/>
      <c r="I51" s="676"/>
      <c r="J51" s="676"/>
      <c r="K51" s="676"/>
      <c r="L51" s="676"/>
      <c r="M51" s="676"/>
      <c r="N51" s="676"/>
    </row>
    <row r="52" spans="2:14">
      <c r="B52" s="676"/>
      <c r="C52" s="676"/>
      <c r="D52" s="676"/>
      <c r="E52" s="676"/>
      <c r="F52" s="676"/>
      <c r="G52" s="676"/>
      <c r="H52" s="676"/>
      <c r="I52" s="676"/>
      <c r="J52" s="676"/>
      <c r="K52" s="676"/>
      <c r="L52" s="676"/>
      <c r="M52" s="676"/>
      <c r="N52" s="67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6" t="s">
        <v>2554</v>
      </c>
      <c r="F38" s="68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85" t="s">
        <v>989</v>
      </c>
      <c r="C41" s="685"/>
      <c r="D41" s="685"/>
      <c r="E41" s="685"/>
      <c r="F41" s="685"/>
      <c r="G41" s="685"/>
      <c r="H41" s="68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64" t="s">
        <v>909</v>
      </c>
      <c r="C1" s="664"/>
      <c r="D1" s="663" t="s">
        <v>515</v>
      </c>
      <c r="E1" s="663"/>
      <c r="F1" s="664" t="s">
        <v>513</v>
      </c>
      <c r="G1" s="664"/>
      <c r="H1" s="691" t="s">
        <v>549</v>
      </c>
      <c r="I1" s="691"/>
      <c r="J1" s="663" t="s">
        <v>515</v>
      </c>
      <c r="K1" s="663"/>
      <c r="L1" s="664" t="s">
        <v>908</v>
      </c>
      <c r="M1" s="664"/>
      <c r="N1" s="691" t="s">
        <v>549</v>
      </c>
      <c r="O1" s="691"/>
      <c r="P1" s="663" t="s">
        <v>515</v>
      </c>
      <c r="Q1" s="663"/>
      <c r="R1" s="664" t="s">
        <v>552</v>
      </c>
      <c r="S1" s="664"/>
      <c r="T1" s="691" t="s">
        <v>549</v>
      </c>
      <c r="U1" s="691"/>
      <c r="V1" s="663" t="s">
        <v>515</v>
      </c>
      <c r="W1" s="663"/>
      <c r="X1" s="664" t="s">
        <v>907</v>
      </c>
      <c r="Y1" s="664"/>
      <c r="Z1" s="691" t="s">
        <v>549</v>
      </c>
      <c r="AA1" s="691"/>
      <c r="AB1" s="663" t="s">
        <v>515</v>
      </c>
      <c r="AC1" s="663"/>
      <c r="AD1" s="664" t="s">
        <v>591</v>
      </c>
      <c r="AE1" s="664"/>
      <c r="AF1" s="691" t="s">
        <v>549</v>
      </c>
      <c r="AG1" s="691"/>
      <c r="AH1" s="663" t="s">
        <v>515</v>
      </c>
      <c r="AI1" s="663"/>
      <c r="AJ1" s="664" t="s">
        <v>906</v>
      </c>
      <c r="AK1" s="664"/>
      <c r="AL1" s="691" t="s">
        <v>626</v>
      </c>
      <c r="AM1" s="691"/>
      <c r="AN1" s="663" t="s">
        <v>627</v>
      </c>
      <c r="AO1" s="663"/>
      <c r="AP1" s="664" t="s">
        <v>621</v>
      </c>
      <c r="AQ1" s="664"/>
      <c r="AR1" s="691" t="s">
        <v>549</v>
      </c>
      <c r="AS1" s="691"/>
      <c r="AT1" s="663" t="s">
        <v>515</v>
      </c>
      <c r="AU1" s="663"/>
      <c r="AV1" s="664" t="s">
        <v>905</v>
      </c>
      <c r="AW1" s="664"/>
      <c r="AX1" s="691" t="s">
        <v>549</v>
      </c>
      <c r="AY1" s="691"/>
      <c r="AZ1" s="663" t="s">
        <v>515</v>
      </c>
      <c r="BA1" s="663"/>
      <c r="BB1" s="664" t="s">
        <v>653</v>
      </c>
      <c r="BC1" s="664"/>
      <c r="BD1" s="691" t="s">
        <v>549</v>
      </c>
      <c r="BE1" s="691"/>
      <c r="BF1" s="663" t="s">
        <v>515</v>
      </c>
      <c r="BG1" s="663"/>
      <c r="BH1" s="664" t="s">
        <v>904</v>
      </c>
      <c r="BI1" s="664"/>
      <c r="BJ1" s="691" t="s">
        <v>549</v>
      </c>
      <c r="BK1" s="691"/>
      <c r="BL1" s="663" t="s">
        <v>515</v>
      </c>
      <c r="BM1" s="663"/>
      <c r="BN1" s="664" t="s">
        <v>921</v>
      </c>
      <c r="BO1" s="664"/>
      <c r="BP1" s="691" t="s">
        <v>549</v>
      </c>
      <c r="BQ1" s="691"/>
      <c r="BR1" s="663" t="s">
        <v>515</v>
      </c>
      <c r="BS1" s="663"/>
      <c r="BT1" s="664" t="s">
        <v>903</v>
      </c>
      <c r="BU1" s="664"/>
      <c r="BV1" s="691" t="s">
        <v>704</v>
      </c>
      <c r="BW1" s="691"/>
      <c r="BX1" s="663" t="s">
        <v>705</v>
      </c>
      <c r="BY1" s="663"/>
      <c r="BZ1" s="664" t="s">
        <v>703</v>
      </c>
      <c r="CA1" s="664"/>
      <c r="CB1" s="691" t="s">
        <v>730</v>
      </c>
      <c r="CC1" s="691"/>
      <c r="CD1" s="663" t="s">
        <v>731</v>
      </c>
      <c r="CE1" s="663"/>
      <c r="CF1" s="664" t="s">
        <v>902</v>
      </c>
      <c r="CG1" s="664"/>
      <c r="CH1" s="691" t="s">
        <v>730</v>
      </c>
      <c r="CI1" s="691"/>
      <c r="CJ1" s="663" t="s">
        <v>731</v>
      </c>
      <c r="CK1" s="663"/>
      <c r="CL1" s="664" t="s">
        <v>748</v>
      </c>
      <c r="CM1" s="664"/>
      <c r="CN1" s="691" t="s">
        <v>730</v>
      </c>
      <c r="CO1" s="691"/>
      <c r="CP1" s="663" t="s">
        <v>731</v>
      </c>
      <c r="CQ1" s="663"/>
      <c r="CR1" s="664" t="s">
        <v>901</v>
      </c>
      <c r="CS1" s="664"/>
      <c r="CT1" s="691" t="s">
        <v>730</v>
      </c>
      <c r="CU1" s="691"/>
      <c r="CV1" s="689" t="s">
        <v>731</v>
      </c>
      <c r="CW1" s="689"/>
      <c r="CX1" s="664" t="s">
        <v>769</v>
      </c>
      <c r="CY1" s="664"/>
      <c r="CZ1" s="691" t="s">
        <v>730</v>
      </c>
      <c r="DA1" s="691"/>
      <c r="DB1" s="689" t="s">
        <v>731</v>
      </c>
      <c r="DC1" s="689"/>
      <c r="DD1" s="664" t="s">
        <v>900</v>
      </c>
      <c r="DE1" s="664"/>
      <c r="DF1" s="691" t="s">
        <v>816</v>
      </c>
      <c r="DG1" s="691"/>
      <c r="DH1" s="689" t="s">
        <v>817</v>
      </c>
      <c r="DI1" s="689"/>
      <c r="DJ1" s="664" t="s">
        <v>809</v>
      </c>
      <c r="DK1" s="664"/>
      <c r="DL1" s="691" t="s">
        <v>816</v>
      </c>
      <c r="DM1" s="691"/>
      <c r="DN1" s="689" t="s">
        <v>731</v>
      </c>
      <c r="DO1" s="689"/>
      <c r="DP1" s="664" t="s">
        <v>899</v>
      </c>
      <c r="DQ1" s="664"/>
      <c r="DR1" s="691" t="s">
        <v>816</v>
      </c>
      <c r="DS1" s="691"/>
      <c r="DT1" s="689" t="s">
        <v>731</v>
      </c>
      <c r="DU1" s="689"/>
      <c r="DV1" s="664" t="s">
        <v>898</v>
      </c>
      <c r="DW1" s="664"/>
      <c r="DX1" s="691" t="s">
        <v>816</v>
      </c>
      <c r="DY1" s="691"/>
      <c r="DZ1" s="689" t="s">
        <v>731</v>
      </c>
      <c r="EA1" s="689"/>
      <c r="EB1" s="664" t="s">
        <v>897</v>
      </c>
      <c r="EC1" s="664"/>
      <c r="ED1" s="691" t="s">
        <v>816</v>
      </c>
      <c r="EE1" s="691"/>
      <c r="EF1" s="689" t="s">
        <v>731</v>
      </c>
      <c r="EG1" s="689"/>
      <c r="EH1" s="664" t="s">
        <v>883</v>
      </c>
      <c r="EI1" s="664"/>
      <c r="EJ1" s="691" t="s">
        <v>816</v>
      </c>
      <c r="EK1" s="691"/>
      <c r="EL1" s="689" t="s">
        <v>936</v>
      </c>
      <c r="EM1" s="689"/>
      <c r="EN1" s="664" t="s">
        <v>922</v>
      </c>
      <c r="EO1" s="664"/>
      <c r="EP1" s="691" t="s">
        <v>816</v>
      </c>
      <c r="EQ1" s="691"/>
      <c r="ER1" s="689" t="s">
        <v>950</v>
      </c>
      <c r="ES1" s="689"/>
      <c r="ET1" s="664" t="s">
        <v>937</v>
      </c>
      <c r="EU1" s="664"/>
      <c r="EV1" s="691" t="s">
        <v>816</v>
      </c>
      <c r="EW1" s="691"/>
      <c r="EX1" s="689" t="s">
        <v>530</v>
      </c>
      <c r="EY1" s="689"/>
      <c r="EZ1" s="664" t="s">
        <v>952</v>
      </c>
      <c r="FA1" s="66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90" t="s">
        <v>779</v>
      </c>
      <c r="CU7" s="66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90" t="s">
        <v>778</v>
      </c>
      <c r="DA8" s="66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90" t="s">
        <v>778</v>
      </c>
      <c r="DG8" s="66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90" t="s">
        <v>778</v>
      </c>
      <c r="DM8" s="66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90" t="s">
        <v>778</v>
      </c>
      <c r="DS8" s="664"/>
      <c r="DT8" s="142" t="s">
        <v>783</v>
      </c>
      <c r="DU8" s="142">
        <f>SUM(DU13:DU17)</f>
        <v>32</v>
      </c>
      <c r="DV8" s="63"/>
      <c r="DW8" s="63"/>
      <c r="DX8" s="690" t="s">
        <v>778</v>
      </c>
      <c r="DY8" s="66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90" t="s">
        <v>928</v>
      </c>
      <c r="EK8" s="66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90" t="s">
        <v>928</v>
      </c>
      <c r="EQ9" s="66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90" t="s">
        <v>928</v>
      </c>
      <c r="EW9" s="66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90" t="s">
        <v>928</v>
      </c>
      <c r="EE11" s="66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90" t="s">
        <v>778</v>
      </c>
      <c r="CU12" s="66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55" t="s">
        <v>782</v>
      </c>
      <c r="CU19" s="65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7" t="s">
        <v>858</v>
      </c>
      <c r="FA21" s="677"/>
      <c r="FC21" s="237">
        <f>FC20-FC22</f>
        <v>113457.16899999997</v>
      </c>
      <c r="FD21" s="229"/>
      <c r="FE21" s="688" t="s">
        <v>1546</v>
      </c>
      <c r="FF21" s="688"/>
      <c r="FG21" s="68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7" t="s">
        <v>871</v>
      </c>
      <c r="FA22" s="67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7" t="s">
        <v>1000</v>
      </c>
      <c r="FA23" s="67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7" t="s">
        <v>1076</v>
      </c>
      <c r="FA24" s="67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9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9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9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9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A1" zoomScaleNormal="100" workbookViewId="0">
      <selection activeCell="LF56" sqref="LF56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4" customWidth="1"/>
    <col min="315" max="315" width="9.140625" style="624" bestFit="1" customWidth="1"/>
    <col min="316" max="316" width="16.85546875" style="624" customWidth="1"/>
    <col min="317" max="317" width="12" style="624" customWidth="1"/>
    <col min="318" max="318" width="18.85546875" style="624" customWidth="1"/>
    <col min="319" max="319" width="9.7109375" style="624" bestFit="1" customWidth="1"/>
    <col min="320" max="320" width="6.85546875" style="467" bestFit="1" customWidth="1"/>
    <col min="321" max="321" width="9.140625" style="341" customWidth="1"/>
    <col min="322" max="16384" width="14.5703125" style="341"/>
  </cols>
  <sheetData>
    <row r="1" spans="1:321">
      <c r="A1" s="694" t="s">
        <v>1209</v>
      </c>
      <c r="B1" s="694"/>
      <c r="C1" s="672" t="s">
        <v>292</v>
      </c>
      <c r="D1" s="672"/>
      <c r="E1" s="670" t="s">
        <v>1010</v>
      </c>
      <c r="F1" s="670"/>
      <c r="G1" s="694" t="s">
        <v>1210</v>
      </c>
      <c r="H1" s="694"/>
      <c r="I1" s="672" t="s">
        <v>292</v>
      </c>
      <c r="J1" s="672"/>
      <c r="K1" s="670" t="s">
        <v>1011</v>
      </c>
      <c r="L1" s="670"/>
      <c r="M1" s="694" t="s">
        <v>1211</v>
      </c>
      <c r="N1" s="694"/>
      <c r="O1" s="672" t="s">
        <v>292</v>
      </c>
      <c r="P1" s="672"/>
      <c r="Q1" s="670" t="s">
        <v>1057</v>
      </c>
      <c r="R1" s="670"/>
      <c r="S1" s="694" t="s">
        <v>1212</v>
      </c>
      <c r="T1" s="694"/>
      <c r="U1" s="672" t="s">
        <v>292</v>
      </c>
      <c r="V1" s="672"/>
      <c r="W1" s="670" t="s">
        <v>627</v>
      </c>
      <c r="X1" s="670"/>
      <c r="Y1" s="694" t="s">
        <v>1213</v>
      </c>
      <c r="Z1" s="694"/>
      <c r="AA1" s="672" t="s">
        <v>292</v>
      </c>
      <c r="AB1" s="672"/>
      <c r="AC1" s="670" t="s">
        <v>1084</v>
      </c>
      <c r="AD1" s="670"/>
      <c r="AE1" s="694" t="s">
        <v>1214</v>
      </c>
      <c r="AF1" s="694"/>
      <c r="AG1" s="672" t="s">
        <v>292</v>
      </c>
      <c r="AH1" s="672"/>
      <c r="AI1" s="670" t="s">
        <v>1134</v>
      </c>
      <c r="AJ1" s="670"/>
      <c r="AK1" s="694" t="s">
        <v>1217</v>
      </c>
      <c r="AL1" s="694"/>
      <c r="AM1" s="672" t="s">
        <v>1132</v>
      </c>
      <c r="AN1" s="672"/>
      <c r="AO1" s="670" t="s">
        <v>1133</v>
      </c>
      <c r="AP1" s="670"/>
      <c r="AQ1" s="694" t="s">
        <v>1218</v>
      </c>
      <c r="AR1" s="694"/>
      <c r="AS1" s="672" t="s">
        <v>1132</v>
      </c>
      <c r="AT1" s="672"/>
      <c r="AU1" s="670" t="s">
        <v>1178</v>
      </c>
      <c r="AV1" s="670"/>
      <c r="AW1" s="694" t="s">
        <v>1215</v>
      </c>
      <c r="AX1" s="694"/>
      <c r="AY1" s="670" t="s">
        <v>1241</v>
      </c>
      <c r="AZ1" s="670"/>
      <c r="BA1" s="694" t="s">
        <v>1215</v>
      </c>
      <c r="BB1" s="694"/>
      <c r="BC1" s="672" t="s">
        <v>816</v>
      </c>
      <c r="BD1" s="672"/>
      <c r="BE1" s="670" t="s">
        <v>1208</v>
      </c>
      <c r="BF1" s="670"/>
      <c r="BG1" s="694" t="s">
        <v>1216</v>
      </c>
      <c r="BH1" s="694"/>
      <c r="BI1" s="672" t="s">
        <v>816</v>
      </c>
      <c r="BJ1" s="672"/>
      <c r="BK1" s="670" t="s">
        <v>1208</v>
      </c>
      <c r="BL1" s="670"/>
      <c r="BM1" s="694" t="s">
        <v>1226</v>
      </c>
      <c r="BN1" s="694"/>
      <c r="BO1" s="672" t="s">
        <v>816</v>
      </c>
      <c r="BP1" s="672"/>
      <c r="BQ1" s="670" t="s">
        <v>1244</v>
      </c>
      <c r="BR1" s="670"/>
      <c r="BS1" s="694" t="s">
        <v>1243</v>
      </c>
      <c r="BT1" s="694"/>
      <c r="BU1" s="672" t="s">
        <v>816</v>
      </c>
      <c r="BV1" s="672"/>
      <c r="BW1" s="670" t="s">
        <v>1248</v>
      </c>
      <c r="BX1" s="670"/>
      <c r="BY1" s="694" t="s">
        <v>1270</v>
      </c>
      <c r="BZ1" s="694"/>
      <c r="CA1" s="672" t="s">
        <v>816</v>
      </c>
      <c r="CB1" s="672"/>
      <c r="CC1" s="670" t="s">
        <v>1244</v>
      </c>
      <c r="CD1" s="670"/>
      <c r="CE1" s="694" t="s">
        <v>1291</v>
      </c>
      <c r="CF1" s="694"/>
      <c r="CG1" s="672" t="s">
        <v>816</v>
      </c>
      <c r="CH1" s="672"/>
      <c r="CI1" s="670" t="s">
        <v>1248</v>
      </c>
      <c r="CJ1" s="670"/>
      <c r="CK1" s="694" t="s">
        <v>1307</v>
      </c>
      <c r="CL1" s="694"/>
      <c r="CM1" s="672" t="s">
        <v>816</v>
      </c>
      <c r="CN1" s="672"/>
      <c r="CO1" s="670" t="s">
        <v>1244</v>
      </c>
      <c r="CP1" s="670"/>
      <c r="CQ1" s="694" t="s">
        <v>1335</v>
      </c>
      <c r="CR1" s="694"/>
      <c r="CS1" s="696" t="s">
        <v>816</v>
      </c>
      <c r="CT1" s="696"/>
      <c r="CU1" s="670" t="s">
        <v>1391</v>
      </c>
      <c r="CV1" s="670"/>
      <c r="CW1" s="694" t="s">
        <v>1374</v>
      </c>
      <c r="CX1" s="694"/>
      <c r="CY1" s="696" t="s">
        <v>816</v>
      </c>
      <c r="CZ1" s="696"/>
      <c r="DA1" s="670" t="s">
        <v>1597</v>
      </c>
      <c r="DB1" s="670"/>
      <c r="DC1" s="694" t="s">
        <v>1394</v>
      </c>
      <c r="DD1" s="694"/>
      <c r="DE1" s="696" t="s">
        <v>816</v>
      </c>
      <c r="DF1" s="696"/>
      <c r="DG1" s="670" t="s">
        <v>1491</v>
      </c>
      <c r="DH1" s="670"/>
      <c r="DI1" s="694" t="s">
        <v>1594</v>
      </c>
      <c r="DJ1" s="694"/>
      <c r="DK1" s="696" t="s">
        <v>816</v>
      </c>
      <c r="DL1" s="696"/>
      <c r="DM1" s="670" t="s">
        <v>1391</v>
      </c>
      <c r="DN1" s="670"/>
      <c r="DO1" s="694" t="s">
        <v>1595</v>
      </c>
      <c r="DP1" s="694"/>
      <c r="DQ1" s="696" t="s">
        <v>816</v>
      </c>
      <c r="DR1" s="696"/>
      <c r="DS1" s="670" t="s">
        <v>1590</v>
      </c>
      <c r="DT1" s="670"/>
      <c r="DU1" s="694" t="s">
        <v>1596</v>
      </c>
      <c r="DV1" s="694"/>
      <c r="DW1" s="696" t="s">
        <v>816</v>
      </c>
      <c r="DX1" s="696"/>
      <c r="DY1" s="670" t="s">
        <v>1616</v>
      </c>
      <c r="DZ1" s="670"/>
      <c r="EA1" s="695" t="s">
        <v>1611</v>
      </c>
      <c r="EB1" s="695"/>
      <c r="EC1" s="696" t="s">
        <v>816</v>
      </c>
      <c r="ED1" s="696"/>
      <c r="EE1" s="670" t="s">
        <v>1590</v>
      </c>
      <c r="EF1" s="670"/>
      <c r="EG1" s="460"/>
      <c r="EH1" s="695" t="s">
        <v>1641</v>
      </c>
      <c r="EI1" s="695"/>
      <c r="EJ1" s="696" t="s">
        <v>816</v>
      </c>
      <c r="EK1" s="696"/>
      <c r="EL1" s="670" t="s">
        <v>1674</v>
      </c>
      <c r="EM1" s="670"/>
      <c r="EN1" s="695" t="s">
        <v>1666</v>
      </c>
      <c r="EO1" s="695"/>
      <c r="EP1" s="696" t="s">
        <v>816</v>
      </c>
      <c r="EQ1" s="696"/>
      <c r="ER1" s="670" t="s">
        <v>1714</v>
      </c>
      <c r="ES1" s="670"/>
      <c r="ET1" s="695" t="s">
        <v>1707</v>
      </c>
      <c r="EU1" s="695"/>
      <c r="EV1" s="696" t="s">
        <v>816</v>
      </c>
      <c r="EW1" s="696"/>
      <c r="EX1" s="670" t="s">
        <v>1616</v>
      </c>
      <c r="EY1" s="670"/>
      <c r="EZ1" s="695" t="s">
        <v>1742</v>
      </c>
      <c r="FA1" s="695"/>
      <c r="FB1" s="696" t="s">
        <v>816</v>
      </c>
      <c r="FC1" s="696"/>
      <c r="FD1" s="670" t="s">
        <v>1597</v>
      </c>
      <c r="FE1" s="670"/>
      <c r="FF1" s="695" t="s">
        <v>1781</v>
      </c>
      <c r="FG1" s="695"/>
      <c r="FH1" s="696" t="s">
        <v>816</v>
      </c>
      <c r="FI1" s="696"/>
      <c r="FJ1" s="670" t="s">
        <v>1391</v>
      </c>
      <c r="FK1" s="670"/>
      <c r="FL1" s="695" t="s">
        <v>1816</v>
      </c>
      <c r="FM1" s="695"/>
      <c r="FN1" s="696" t="s">
        <v>816</v>
      </c>
      <c r="FO1" s="696"/>
      <c r="FP1" s="670" t="s">
        <v>1863</v>
      </c>
      <c r="FQ1" s="670"/>
      <c r="FR1" s="695" t="s">
        <v>1852</v>
      </c>
      <c r="FS1" s="695"/>
      <c r="FT1" s="696" t="s">
        <v>816</v>
      </c>
      <c r="FU1" s="696"/>
      <c r="FV1" s="670" t="s">
        <v>1863</v>
      </c>
      <c r="FW1" s="670"/>
      <c r="FX1" s="695" t="s">
        <v>1966</v>
      </c>
      <c r="FY1" s="695"/>
      <c r="FZ1" s="696" t="s">
        <v>816</v>
      </c>
      <c r="GA1" s="696"/>
      <c r="GB1" s="670" t="s">
        <v>1616</v>
      </c>
      <c r="GC1" s="670"/>
      <c r="GD1" s="695" t="s">
        <v>1967</v>
      </c>
      <c r="GE1" s="695"/>
      <c r="GF1" s="696" t="s">
        <v>816</v>
      </c>
      <c r="GG1" s="696"/>
      <c r="GH1" s="670" t="s">
        <v>1590</v>
      </c>
      <c r="GI1" s="670"/>
      <c r="GJ1" s="695" t="s">
        <v>1976</v>
      </c>
      <c r="GK1" s="695"/>
      <c r="GL1" s="696" t="s">
        <v>816</v>
      </c>
      <c r="GM1" s="696"/>
      <c r="GN1" s="670" t="s">
        <v>1590</v>
      </c>
      <c r="GO1" s="670"/>
      <c r="GP1" s="695" t="s">
        <v>2018</v>
      </c>
      <c r="GQ1" s="695"/>
      <c r="GR1" s="696" t="s">
        <v>816</v>
      </c>
      <c r="GS1" s="696"/>
      <c r="GT1" s="670" t="s">
        <v>1674</v>
      </c>
      <c r="GU1" s="670"/>
      <c r="GV1" s="695" t="s">
        <v>2047</v>
      </c>
      <c r="GW1" s="695"/>
      <c r="GX1" s="696" t="s">
        <v>816</v>
      </c>
      <c r="GY1" s="696"/>
      <c r="GZ1" s="670" t="s">
        <v>2086</v>
      </c>
      <c r="HA1" s="670"/>
      <c r="HB1" s="695" t="s">
        <v>2106</v>
      </c>
      <c r="HC1" s="695"/>
      <c r="HD1" s="696" t="s">
        <v>816</v>
      </c>
      <c r="HE1" s="696"/>
      <c r="HF1" s="670" t="s">
        <v>1714</v>
      </c>
      <c r="HG1" s="670"/>
      <c r="HH1" s="695" t="s">
        <v>2119</v>
      </c>
      <c r="HI1" s="695"/>
      <c r="HJ1" s="696" t="s">
        <v>816</v>
      </c>
      <c r="HK1" s="696"/>
      <c r="HL1" s="670" t="s">
        <v>1391</v>
      </c>
      <c r="HM1" s="670"/>
      <c r="HN1" s="695" t="s">
        <v>2165</v>
      </c>
      <c r="HO1" s="695"/>
      <c r="HP1" s="696" t="s">
        <v>816</v>
      </c>
      <c r="HQ1" s="696"/>
      <c r="HR1" s="670" t="s">
        <v>1391</v>
      </c>
      <c r="HS1" s="670"/>
      <c r="HT1" s="695" t="s">
        <v>2200</v>
      </c>
      <c r="HU1" s="695"/>
      <c r="HV1" s="696" t="s">
        <v>816</v>
      </c>
      <c r="HW1" s="696"/>
      <c r="HX1" s="670" t="s">
        <v>1616</v>
      </c>
      <c r="HY1" s="670"/>
      <c r="HZ1" s="695" t="s">
        <v>2245</v>
      </c>
      <c r="IA1" s="695"/>
      <c r="IB1" s="696" t="s">
        <v>816</v>
      </c>
      <c r="IC1" s="696"/>
      <c r="ID1" s="670" t="s">
        <v>1714</v>
      </c>
      <c r="IE1" s="670"/>
      <c r="IF1" s="695" t="s">
        <v>2310</v>
      </c>
      <c r="IG1" s="695"/>
      <c r="IH1" s="696" t="s">
        <v>816</v>
      </c>
      <c r="II1" s="696"/>
      <c r="IJ1" s="670" t="s">
        <v>1590</v>
      </c>
      <c r="IK1" s="670"/>
      <c r="IL1" s="695" t="s">
        <v>2379</v>
      </c>
      <c r="IM1" s="695"/>
      <c r="IN1" s="696" t="s">
        <v>816</v>
      </c>
      <c r="IO1" s="696"/>
      <c r="IP1" s="670" t="s">
        <v>1616</v>
      </c>
      <c r="IQ1" s="670"/>
      <c r="IR1" s="695" t="s">
        <v>2557</v>
      </c>
      <c r="IS1" s="695"/>
      <c r="IT1" s="696" t="s">
        <v>816</v>
      </c>
      <c r="IU1" s="696"/>
      <c r="IV1" s="670" t="s">
        <v>1747</v>
      </c>
      <c r="IW1" s="670"/>
      <c r="IX1" s="695" t="s">
        <v>2556</v>
      </c>
      <c r="IY1" s="695"/>
      <c r="IZ1" s="696" t="s">
        <v>816</v>
      </c>
      <c r="JA1" s="696"/>
      <c r="JB1" s="670" t="s">
        <v>1863</v>
      </c>
      <c r="JC1" s="670"/>
      <c r="JD1" s="695" t="s">
        <v>2597</v>
      </c>
      <c r="JE1" s="695"/>
      <c r="JF1" s="696" t="s">
        <v>816</v>
      </c>
      <c r="JG1" s="696"/>
      <c r="JH1" s="670" t="s">
        <v>1747</v>
      </c>
      <c r="JI1" s="670"/>
      <c r="JJ1" s="695" t="s">
        <v>2640</v>
      </c>
      <c r="JK1" s="695"/>
      <c r="JL1" s="462" t="s">
        <v>816</v>
      </c>
      <c r="JM1" s="462"/>
      <c r="JN1" s="460" t="s">
        <v>1747</v>
      </c>
      <c r="JO1" s="460"/>
      <c r="JP1" s="461" t="s">
        <v>2692</v>
      </c>
      <c r="JQ1" s="461"/>
      <c r="JR1" s="462" t="s">
        <v>816</v>
      </c>
      <c r="JS1" s="462"/>
      <c r="JT1" s="460" t="s">
        <v>1674</v>
      </c>
      <c r="JU1" s="460"/>
      <c r="JV1" s="461" t="s">
        <v>2737</v>
      </c>
      <c r="JW1" s="461"/>
      <c r="JX1" s="462" t="s">
        <v>816</v>
      </c>
      <c r="JY1" s="462"/>
      <c r="JZ1" s="460" t="s">
        <v>3014</v>
      </c>
      <c r="KA1" s="460"/>
      <c r="KB1" s="461" t="s">
        <v>2838</v>
      </c>
      <c r="KC1" s="461"/>
      <c r="KD1" s="462" t="s">
        <v>816</v>
      </c>
      <c r="KE1" s="462"/>
      <c r="KF1" s="460" t="s">
        <v>1391</v>
      </c>
      <c r="KG1" s="460"/>
      <c r="KH1" s="461" t="s">
        <v>2885</v>
      </c>
      <c r="KI1" s="461"/>
      <c r="KJ1" s="462" t="s">
        <v>816</v>
      </c>
      <c r="KK1" s="462"/>
      <c r="KL1" s="460" t="s">
        <v>1590</v>
      </c>
      <c r="KM1" s="460"/>
      <c r="KN1" s="461" t="s">
        <v>3000</v>
      </c>
      <c r="KO1" s="461"/>
      <c r="KP1" s="462" t="s">
        <v>816</v>
      </c>
      <c r="KQ1" s="462"/>
      <c r="KR1" s="460" t="s">
        <v>1590</v>
      </c>
      <c r="KS1" s="460"/>
      <c r="KT1" s="461" t="s">
        <v>3077</v>
      </c>
      <c r="KU1" s="461"/>
      <c r="KV1" s="462" t="s">
        <v>816</v>
      </c>
      <c r="KW1" s="462"/>
      <c r="KX1" s="618" t="s">
        <v>1590</v>
      </c>
      <c r="KY1" s="460"/>
      <c r="KZ1" s="461" t="s">
        <v>3143</v>
      </c>
      <c r="LA1" s="461"/>
      <c r="LB1" s="620" t="s">
        <v>816</v>
      </c>
      <c r="LC1" s="620"/>
      <c r="LD1" s="618" t="s">
        <v>1747</v>
      </c>
      <c r="LE1" s="618"/>
      <c r="LF1" s="623" t="s">
        <v>3147</v>
      </c>
      <c r="LG1" s="623"/>
    </row>
    <row r="2" spans="1:321">
      <c r="A2" s="285" t="s">
        <v>161</v>
      </c>
      <c r="B2" s="466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6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6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6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6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6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6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6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6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6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6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6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2987</v>
      </c>
      <c r="KI2" s="259">
        <f>KI4+KI3-SUM(KI5:KI6)</f>
        <v>80796.44</v>
      </c>
      <c r="KJ2" s="341" t="s">
        <v>3018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2987</v>
      </c>
      <c r="KO2" s="451">
        <f>SUM(KO3:KO4)-KO9</f>
        <v>44555.639999999956</v>
      </c>
      <c r="KP2" s="341" t="s">
        <v>3018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3006</v>
      </c>
      <c r="KU2" s="259">
        <v>-50000</v>
      </c>
      <c r="KV2" s="341" t="s">
        <v>3018</v>
      </c>
      <c r="KW2" s="321">
        <f>SUM(KW4:KW36)</f>
        <v>22093.94</v>
      </c>
      <c r="KX2" s="203" t="s">
        <v>296</v>
      </c>
      <c r="KY2" s="260">
        <f>KW2+KU3-LA2</f>
        <v>10341.489999999932</v>
      </c>
      <c r="KZ2" s="341" t="s">
        <v>3030</v>
      </c>
      <c r="LA2" s="311">
        <f>SUM(LA7:LA33)</f>
        <v>325738.49000000005</v>
      </c>
      <c r="LB2" s="624" t="s">
        <v>3018</v>
      </c>
      <c r="LC2" s="321">
        <f>SUM(LC4:LC31)</f>
        <v>18590.250999999997</v>
      </c>
      <c r="LD2" s="203" t="s">
        <v>296</v>
      </c>
      <c r="LE2" s="260">
        <f>LC2+LA2-LG2</f>
        <v>28493.94100000005</v>
      </c>
      <c r="LF2" s="624" t="s">
        <v>3030</v>
      </c>
      <c r="LG2" s="311">
        <f>SUM(LG6:LG32)</f>
        <v>315834.8</v>
      </c>
    </row>
    <row r="3" spans="1:321">
      <c r="A3" s="717" t="s">
        <v>991</v>
      </c>
      <c r="B3" s="717"/>
      <c r="E3" s="170" t="s">
        <v>233</v>
      </c>
      <c r="F3" s="174">
        <f>F2-F4</f>
        <v>17</v>
      </c>
      <c r="G3" s="717" t="s">
        <v>991</v>
      </c>
      <c r="H3" s="717"/>
      <c r="K3" s="170" t="s">
        <v>233</v>
      </c>
      <c r="L3" s="240">
        <f>L2-L4</f>
        <v>43.980999999999767</v>
      </c>
      <c r="M3" s="468" t="s">
        <v>994</v>
      </c>
      <c r="N3" s="469"/>
      <c r="Q3" s="171" t="s">
        <v>1179</v>
      </c>
      <c r="R3" s="240">
        <f>R2-R7</f>
        <v>1290.8099999999995</v>
      </c>
      <c r="S3" s="468" t="s">
        <v>994</v>
      </c>
      <c r="T3" s="469"/>
      <c r="W3" s="171" t="s">
        <v>1179</v>
      </c>
      <c r="X3" s="240">
        <f>X2-X7</f>
        <v>3163.5489999999995</v>
      </c>
      <c r="Y3" s="468" t="s">
        <v>994</v>
      </c>
      <c r="Z3" s="469"/>
      <c r="AC3" s="171" t="s">
        <v>1179</v>
      </c>
      <c r="AD3" s="240">
        <f>AD2-AD6</f>
        <v>1487.7609999999995</v>
      </c>
      <c r="AE3" s="468" t="s">
        <v>994</v>
      </c>
      <c r="AF3" s="469"/>
      <c r="AI3" s="171" t="s">
        <v>1179</v>
      </c>
      <c r="AJ3" s="240">
        <f>AJ2-AJ6</f>
        <v>1545.6700000000055</v>
      </c>
      <c r="AK3" s="468" t="s">
        <v>994</v>
      </c>
      <c r="AL3" s="469"/>
      <c r="AO3" s="171" t="s">
        <v>1179</v>
      </c>
      <c r="AP3" s="240">
        <f>AP2-AP6</f>
        <v>7455.0509999999995</v>
      </c>
      <c r="AQ3" s="468" t="s">
        <v>994</v>
      </c>
      <c r="AR3" s="469"/>
      <c r="AU3" s="170" t="s">
        <v>1179</v>
      </c>
      <c r="AV3" s="240">
        <f>AV2-AV6</f>
        <v>2205.8789999999935</v>
      </c>
      <c r="AW3" s="468" t="s">
        <v>994</v>
      </c>
      <c r="AX3" s="469"/>
      <c r="AY3" s="170"/>
      <c r="AZ3" s="240"/>
      <c r="BA3" s="468" t="s">
        <v>994</v>
      </c>
      <c r="BB3" s="469"/>
      <c r="BE3" s="170" t="s">
        <v>1179</v>
      </c>
      <c r="BF3" s="240">
        <f>BF2-BF6</f>
        <v>3846.3210000000108</v>
      </c>
      <c r="BG3" s="468" t="s">
        <v>994</v>
      </c>
      <c r="BH3" s="469"/>
      <c r="BK3" s="253" t="s">
        <v>1179</v>
      </c>
      <c r="BL3" s="252">
        <f>BL2-BL6</f>
        <v>1986.3499999999869</v>
      </c>
      <c r="BM3" s="468" t="s">
        <v>994</v>
      </c>
      <c r="BN3" s="469"/>
      <c r="BQ3" s="253" t="s">
        <v>1179</v>
      </c>
      <c r="BR3" s="252">
        <f>BR2-BR6</f>
        <v>2641.1200000000076</v>
      </c>
      <c r="BS3" s="468" t="s">
        <v>994</v>
      </c>
      <c r="BT3" s="378"/>
      <c r="BW3" s="253" t="s">
        <v>1179</v>
      </c>
      <c r="BX3" s="252">
        <f>BX2-BX6</f>
        <v>2767.6290000000081</v>
      </c>
      <c r="BY3" s="468" t="s">
        <v>994</v>
      </c>
      <c r="BZ3" s="469"/>
      <c r="CC3" s="253" t="s">
        <v>1179</v>
      </c>
      <c r="CD3" s="252">
        <f>CD2-CD6</f>
        <v>2896.2299999999977</v>
      </c>
      <c r="CE3" s="468" t="s">
        <v>994</v>
      </c>
      <c r="CF3" s="469"/>
      <c r="CI3" s="253" t="s">
        <v>1179</v>
      </c>
      <c r="CJ3" s="252">
        <f>CJ2-CJ6</f>
        <v>3338.7009999999827</v>
      </c>
      <c r="CK3" s="468" t="s">
        <v>994</v>
      </c>
      <c r="CL3" s="469"/>
      <c r="CO3" s="253" t="s">
        <v>1179</v>
      </c>
      <c r="CP3" s="252">
        <f>CP2-CP6</f>
        <v>2095.6600000000094</v>
      </c>
      <c r="CQ3" s="468" t="s">
        <v>994</v>
      </c>
      <c r="CR3" s="469"/>
      <c r="CU3" s="253" t="s">
        <v>1179</v>
      </c>
      <c r="CV3" s="252">
        <f>CV2-CV6</f>
        <v>3172.9400000000114</v>
      </c>
      <c r="CW3" s="468" t="s">
        <v>994</v>
      </c>
      <c r="CX3" s="469"/>
      <c r="DA3" s="217" t="s">
        <v>1179</v>
      </c>
      <c r="DB3" s="252">
        <f>DB2-DB6</f>
        <v>4604.6600000000053</v>
      </c>
      <c r="DC3" s="468" t="s">
        <v>994</v>
      </c>
      <c r="DD3" s="469"/>
      <c r="DG3" s="217" t="s">
        <v>1179</v>
      </c>
      <c r="DH3" s="274">
        <f>DH2-DH6</f>
        <v>6875.0489999999863</v>
      </c>
      <c r="DI3" s="468" t="s">
        <v>994</v>
      </c>
      <c r="DJ3" s="469"/>
      <c r="DM3" s="217" t="s">
        <v>1179</v>
      </c>
      <c r="DN3" s="274">
        <f>DN2-DN6</f>
        <v>4726.7400000000016</v>
      </c>
      <c r="DO3" s="468" t="s">
        <v>1505</v>
      </c>
      <c r="DP3" s="469">
        <v>1597</v>
      </c>
      <c r="DS3" s="204" t="s">
        <v>1179</v>
      </c>
      <c r="DT3" s="263">
        <f>DT2-DT7</f>
        <v>12719.120000000024</v>
      </c>
      <c r="DU3" s="468" t="s">
        <v>1527</v>
      </c>
      <c r="DV3" s="469">
        <v>784</v>
      </c>
      <c r="DY3" s="341" t="s">
        <v>1179</v>
      </c>
      <c r="DZ3" s="263">
        <f>DZ2-DZ6</f>
        <v>2984.0000000000027</v>
      </c>
      <c r="EA3" s="468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0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0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2710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2846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2901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3006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452">
        <v>7000</v>
      </c>
      <c r="LA3" s="453">
        <v>45342</v>
      </c>
      <c r="LC3" s="321"/>
      <c r="LD3" s="624" t="s">
        <v>2340</v>
      </c>
      <c r="LE3" s="260">
        <f>LE2-LC39-LC38</f>
        <v>7114.9310000000496</v>
      </c>
      <c r="LF3" s="452">
        <v>7000</v>
      </c>
      <c r="LG3" s="453">
        <v>45342</v>
      </c>
    </row>
    <row r="4" spans="1:321" ht="12.75" customHeight="1" thickBot="1">
      <c r="A4" s="717"/>
      <c r="B4" s="717"/>
      <c r="E4" s="170" t="s">
        <v>352</v>
      </c>
      <c r="F4" s="174">
        <f>SUM(F14:F57)</f>
        <v>12750</v>
      </c>
      <c r="G4" s="717"/>
      <c r="H4" s="717"/>
      <c r="K4" s="170" t="s">
        <v>352</v>
      </c>
      <c r="L4" s="240">
        <f>SUM(L14:L44)</f>
        <v>3738.0200000000004</v>
      </c>
      <c r="M4" s="468" t="s">
        <v>432</v>
      </c>
      <c r="N4" s="469">
        <v>966</v>
      </c>
      <c r="Q4" s="170" t="s">
        <v>233</v>
      </c>
      <c r="R4" s="240">
        <f>R2-R5</f>
        <v>0.55999999999949068</v>
      </c>
      <c r="S4" s="468" t="s">
        <v>432</v>
      </c>
      <c r="T4" s="469">
        <v>1716</v>
      </c>
      <c r="W4" s="170" t="s">
        <v>233</v>
      </c>
      <c r="X4" s="240">
        <f>X2-X5</f>
        <v>44.627999999998792</v>
      </c>
      <c r="Y4" s="468" t="s">
        <v>432</v>
      </c>
      <c r="Z4" s="469">
        <v>832.07</v>
      </c>
      <c r="AC4" s="170" t="s">
        <v>233</v>
      </c>
      <c r="AD4" s="240">
        <f>AD2-AD5</f>
        <v>124.4099999999994</v>
      </c>
      <c r="AE4" s="468" t="s">
        <v>432</v>
      </c>
      <c r="AF4" s="469">
        <v>1274</v>
      </c>
      <c r="AI4" s="170" t="s">
        <v>233</v>
      </c>
      <c r="AJ4" s="240">
        <f>AJ2-AJ5</f>
        <v>17.67000000000553</v>
      </c>
      <c r="AK4" s="468" t="s">
        <v>432</v>
      </c>
      <c r="AL4" s="469">
        <v>1460</v>
      </c>
      <c r="AO4" s="170" t="s">
        <v>1203</v>
      </c>
      <c r="AP4" s="240">
        <f>AP2-AP5</f>
        <v>5.3509999999987485</v>
      </c>
      <c r="AQ4" s="468" t="s">
        <v>432</v>
      </c>
      <c r="AR4" s="469">
        <v>1096</v>
      </c>
      <c r="AU4" s="170" t="s">
        <v>1203</v>
      </c>
      <c r="AV4" s="240">
        <f>AV2-AV5</f>
        <v>48.818999999994048</v>
      </c>
      <c r="AW4" s="468" t="s">
        <v>432</v>
      </c>
      <c r="AX4" s="469">
        <v>1425</v>
      </c>
      <c r="AY4" s="170"/>
      <c r="AZ4" s="240"/>
      <c r="BA4" s="468" t="s">
        <v>432</v>
      </c>
      <c r="BB4" s="469">
        <f>AX4</f>
        <v>1425</v>
      </c>
      <c r="BE4" s="170" t="s">
        <v>1203</v>
      </c>
      <c r="BF4" s="240">
        <f>BF2-BF5</f>
        <v>18.941000000011172</v>
      </c>
      <c r="BG4" s="468" t="s">
        <v>432</v>
      </c>
      <c r="BH4" s="469">
        <v>916</v>
      </c>
      <c r="BK4" s="253" t="s">
        <v>1203</v>
      </c>
      <c r="BL4" s="252">
        <f>BL2-BL5</f>
        <v>9.8299999999867396</v>
      </c>
      <c r="BM4" s="468" t="s">
        <v>432</v>
      </c>
      <c r="BN4" s="469">
        <v>1684</v>
      </c>
      <c r="BQ4" s="253" t="s">
        <v>1203</v>
      </c>
      <c r="BR4" s="252">
        <f>BR2-BR5</f>
        <v>7.5800000000072032</v>
      </c>
      <c r="BS4" s="468" t="s">
        <v>432</v>
      </c>
      <c r="BT4" s="378">
        <v>1251</v>
      </c>
      <c r="BW4" s="253" t="s">
        <v>1203</v>
      </c>
      <c r="BX4" s="252">
        <f>BX2-BX5</f>
        <v>2.0890000000072177</v>
      </c>
      <c r="BY4" s="468" t="s">
        <v>432</v>
      </c>
      <c r="BZ4" s="469">
        <v>1449</v>
      </c>
      <c r="CC4" s="253" t="s">
        <v>1203</v>
      </c>
      <c r="CD4" s="252">
        <f>CD2-CD5</f>
        <v>0.79899999999724969</v>
      </c>
      <c r="CE4" s="468" t="s">
        <v>432</v>
      </c>
      <c r="CF4" s="469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8" t="s">
        <v>432</v>
      </c>
      <c r="CL4" s="469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8" t="s">
        <v>432</v>
      </c>
      <c r="CR4" s="469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8" t="s">
        <v>432</v>
      </c>
      <c r="CX4" s="469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8" t="s">
        <v>432</v>
      </c>
      <c r="DD4" s="469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8" t="s">
        <v>432</v>
      </c>
      <c r="DJ4" s="469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8" t="s">
        <v>1506</v>
      </c>
      <c r="DP4" s="469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68" t="s">
        <v>1506</v>
      </c>
      <c r="DV4" s="469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68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1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1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0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0">
        <v>30921.3</v>
      </c>
      <c r="JB4" s="341" t="s">
        <v>2385</v>
      </c>
      <c r="JC4" s="260">
        <f>JC3-JA31</f>
        <v>3741.5130000000418</v>
      </c>
      <c r="JE4" s="311"/>
      <c r="JF4" s="341" t="s">
        <v>3022</v>
      </c>
      <c r="JG4" s="470">
        <v>17271.3</v>
      </c>
      <c r="JH4" s="341" t="s">
        <v>1203</v>
      </c>
      <c r="JI4" s="263">
        <f>JI2-JI5</f>
        <v>-0.59412602733937092</v>
      </c>
      <c r="JK4" s="259"/>
      <c r="JL4" s="341" t="s">
        <v>3022</v>
      </c>
      <c r="JM4" s="470">
        <v>17271.3</v>
      </c>
      <c r="JN4" s="341" t="s">
        <v>1203</v>
      </c>
      <c r="JO4" s="263">
        <f>JO2-JO5</f>
        <v>-0.21999999998661224</v>
      </c>
      <c r="JP4" s="341" t="s">
        <v>2664</v>
      </c>
      <c r="JQ4" s="259">
        <f>-71000-140000</f>
        <v>-211000</v>
      </c>
      <c r="JR4" s="341" t="s">
        <v>3022</v>
      </c>
      <c r="JS4" s="470">
        <v>17271.3</v>
      </c>
      <c r="JT4" s="341" t="s">
        <v>1203</v>
      </c>
      <c r="JU4" s="263">
        <f>JU2-JU5</f>
        <v>-8.9999999985593604E-2</v>
      </c>
      <c r="JV4" s="341" t="s">
        <v>2664</v>
      </c>
      <c r="JW4" s="259">
        <f>$JQ$4</f>
        <v>-211000</v>
      </c>
      <c r="JX4" s="341" t="s">
        <v>3023</v>
      </c>
      <c r="JY4" s="470">
        <f>17271.3*2</f>
        <v>34542.6</v>
      </c>
      <c r="JZ4" s="341" t="s">
        <v>1203</v>
      </c>
      <c r="KA4" s="263">
        <f>KA2-KA5</f>
        <v>0.44856871762385708</v>
      </c>
      <c r="KB4" s="341" t="s">
        <v>2847</v>
      </c>
      <c r="KC4" s="259">
        <f>-140000</f>
        <v>-140000</v>
      </c>
      <c r="KD4" s="341" t="s">
        <v>3022</v>
      </c>
      <c r="KE4" s="470">
        <v>17271.3</v>
      </c>
      <c r="KF4" s="341" t="s">
        <v>1203</v>
      </c>
      <c r="KG4" s="263">
        <f>KG2-KG5</f>
        <v>-0.17599999997764826</v>
      </c>
      <c r="KH4" s="341" t="s">
        <v>3013</v>
      </c>
      <c r="KI4" s="311">
        <f>SUM(KI5:KI36)</f>
        <v>337796.44</v>
      </c>
      <c r="KJ4" s="341" t="s">
        <v>3022</v>
      </c>
      <c r="KK4" s="470">
        <v>17211.3</v>
      </c>
      <c r="KL4" s="341" t="s">
        <v>1203</v>
      </c>
      <c r="KM4" s="457">
        <f>KM2-KM5</f>
        <v>0.45000000006257324</v>
      </c>
      <c r="KN4" s="341" t="s">
        <v>3015</v>
      </c>
      <c r="KO4" s="311">
        <f>SUM(KO9:KO38)</f>
        <v>291555.63999999996</v>
      </c>
      <c r="KP4" s="341" t="s">
        <v>3022</v>
      </c>
      <c r="KQ4" s="470">
        <v>17451.73</v>
      </c>
      <c r="KR4" s="341" t="s">
        <v>1203</v>
      </c>
      <c r="KS4" s="263">
        <f>KS2-KS5</f>
        <v>0.6099999999969441</v>
      </c>
      <c r="KT4" s="452">
        <v>7000</v>
      </c>
      <c r="KU4" s="453">
        <v>45342</v>
      </c>
      <c r="KV4" s="341" t="s">
        <v>3022</v>
      </c>
      <c r="KW4" s="470">
        <v>17211.73</v>
      </c>
      <c r="KX4" s="341" t="s">
        <v>1203</v>
      </c>
      <c r="KY4" s="457">
        <f>KY2-KY5</f>
        <v>2.9999999935171218E-2</v>
      </c>
      <c r="KZ4" s="454">
        <v>150000</v>
      </c>
      <c r="LA4" s="455">
        <v>45356</v>
      </c>
      <c r="LB4" s="624" t="s">
        <v>3022</v>
      </c>
      <c r="LC4" s="470">
        <v>17211.73</v>
      </c>
      <c r="LD4" s="624" t="s">
        <v>1203</v>
      </c>
      <c r="LE4" s="457">
        <f>LE2-LE5</f>
        <v>-0.27899999994770042</v>
      </c>
      <c r="LF4" s="602" t="s">
        <v>3110</v>
      </c>
      <c r="LG4" s="455" t="s">
        <v>3109</v>
      </c>
    </row>
    <row r="5" spans="1:321">
      <c r="A5" s="468" t="s">
        <v>994</v>
      </c>
      <c r="B5" s="469"/>
      <c r="E5" s="170"/>
      <c r="F5" s="170"/>
      <c r="G5" s="468" t="s">
        <v>994</v>
      </c>
      <c r="H5" s="469"/>
      <c r="I5" s="341" t="s">
        <v>1047</v>
      </c>
      <c r="J5" s="341">
        <v>12933</v>
      </c>
      <c r="K5" s="170"/>
      <c r="M5" s="468" t="s">
        <v>443</v>
      </c>
      <c r="N5" s="469">
        <v>15505</v>
      </c>
      <c r="O5" s="341" t="s">
        <v>3022</v>
      </c>
      <c r="P5" s="341">
        <v>0</v>
      </c>
      <c r="Q5" s="170" t="s">
        <v>352</v>
      </c>
      <c r="R5" s="240">
        <f>SUM(R14:R41)</f>
        <v>7490.4400000000005</v>
      </c>
      <c r="S5" s="468" t="s">
        <v>443</v>
      </c>
      <c r="T5" s="469">
        <v>4922</v>
      </c>
      <c r="U5" s="341" t="s">
        <v>3022</v>
      </c>
      <c r="V5" s="341">
        <v>13664</v>
      </c>
      <c r="W5" s="170" t="s">
        <v>352</v>
      </c>
      <c r="X5" s="240">
        <f>SUM(X13:X46)</f>
        <v>5719.0310000000009</v>
      </c>
      <c r="Y5" s="468" t="s">
        <v>443</v>
      </c>
      <c r="Z5" s="469">
        <v>3694.13</v>
      </c>
      <c r="AA5" s="341" t="s">
        <v>3022</v>
      </c>
      <c r="AB5" s="341">
        <v>13664.29</v>
      </c>
      <c r="AC5" s="170" t="s">
        <v>352</v>
      </c>
      <c r="AD5" s="240">
        <f>SUM(AD12:AD33)</f>
        <v>3864.5509999999999</v>
      </c>
      <c r="AE5" s="468" t="s">
        <v>443</v>
      </c>
      <c r="AF5" s="469">
        <v>17678</v>
      </c>
      <c r="AG5" s="341" t="s">
        <v>3022</v>
      </c>
      <c r="AH5" s="341">
        <v>13642</v>
      </c>
      <c r="AI5" s="170" t="s">
        <v>352</v>
      </c>
      <c r="AJ5" s="240">
        <f>SUM(AJ12:AJ35)</f>
        <v>1528</v>
      </c>
      <c r="AK5" s="468" t="s">
        <v>443</v>
      </c>
      <c r="AL5" s="469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68" t="s">
        <v>443</v>
      </c>
      <c r="AR5" s="469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68" t="s">
        <v>443</v>
      </c>
      <c r="AX5" s="469">
        <v>10293</v>
      </c>
      <c r="AY5" s="170"/>
      <c r="AZ5" s="240"/>
      <c r="BA5" s="468" t="s">
        <v>443</v>
      </c>
      <c r="BB5" s="469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68" t="s">
        <v>443</v>
      </c>
      <c r="BH5" s="469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8" t="s">
        <v>443</v>
      </c>
      <c r="BN5" s="469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8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8" t="s">
        <v>443</v>
      </c>
      <c r="BZ5" s="469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8" t="s">
        <v>443</v>
      </c>
      <c r="CF5" s="469">
        <v>3628</v>
      </c>
      <c r="CH5" s="204"/>
      <c r="CI5" s="253" t="s">
        <v>352</v>
      </c>
      <c r="CJ5" s="252">
        <f>SUM(CJ11:CJ46)</f>
        <v>6322.8610000000008</v>
      </c>
      <c r="CK5" s="468" t="s">
        <v>443</v>
      </c>
      <c r="CL5" s="469">
        <v>2249</v>
      </c>
      <c r="CN5" s="204"/>
      <c r="CO5" s="253" t="s">
        <v>352</v>
      </c>
      <c r="CP5" s="252">
        <f>SUM(CP11:CP44)</f>
        <v>3989.4209999999998</v>
      </c>
      <c r="CQ5" s="468" t="s">
        <v>443</v>
      </c>
      <c r="CR5" s="469">
        <v>1723</v>
      </c>
      <c r="CT5" s="204"/>
      <c r="CU5" s="253" t="s">
        <v>352</v>
      </c>
      <c r="CV5" s="252">
        <f>SUM(CV11:CV45)</f>
        <v>5030.402000000001</v>
      </c>
      <c r="CW5" s="468" t="s">
        <v>443</v>
      </c>
      <c r="CX5" s="469">
        <v>4843</v>
      </c>
      <c r="CZ5" s="204"/>
      <c r="DA5" s="217" t="s">
        <v>352</v>
      </c>
      <c r="DB5" s="252">
        <f>SUM(DB11:DB45)</f>
        <v>6503.1500000000015</v>
      </c>
      <c r="DC5" s="468" t="s">
        <v>443</v>
      </c>
      <c r="DD5" s="469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8" t="s">
        <v>443</v>
      </c>
      <c r="DJ5" s="469">
        <v>7372</v>
      </c>
      <c r="DL5" s="263"/>
      <c r="DM5" s="217" t="s">
        <v>352</v>
      </c>
      <c r="DN5" s="278">
        <f>SUM(DN12:DN61)</f>
        <v>21532.18</v>
      </c>
      <c r="DO5" s="468" t="s">
        <v>1507</v>
      </c>
      <c r="DP5" s="469" t="s">
        <v>642</v>
      </c>
      <c r="DR5" s="263"/>
      <c r="DS5" s="204" t="s">
        <v>1203</v>
      </c>
      <c r="DT5" s="261">
        <f>DT2-DT6</f>
        <v>31.529000000031374</v>
      </c>
      <c r="DU5" s="468" t="s">
        <v>1269</v>
      </c>
      <c r="DV5" s="469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1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1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2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3080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1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0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0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2923</v>
      </c>
      <c r="JS5" s="470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2924</v>
      </c>
      <c r="JY5" s="470">
        <v>-30</v>
      </c>
      <c r="JZ5" s="341" t="s">
        <v>352</v>
      </c>
      <c r="KA5" s="260">
        <f>SUM(KA6:KA71)</f>
        <v>20398.781431282358</v>
      </c>
      <c r="KB5" s="341" t="s">
        <v>2848</v>
      </c>
      <c r="KC5" s="259">
        <f>-135000</f>
        <v>-135000</v>
      </c>
      <c r="KD5" s="341" t="s">
        <v>2850</v>
      </c>
      <c r="KE5" s="470">
        <v>-107.13</v>
      </c>
      <c r="KF5" s="341" t="s">
        <v>352</v>
      </c>
      <c r="KG5" s="260">
        <f>SUM(KG6:KG48)</f>
        <v>207950.29100000003</v>
      </c>
      <c r="KH5" s="204" t="s">
        <v>2861</v>
      </c>
      <c r="KI5" s="319">
        <v>7000</v>
      </c>
      <c r="KJ5" s="341" t="s">
        <v>2559</v>
      </c>
      <c r="KK5" s="470">
        <v>-132.12</v>
      </c>
      <c r="KL5" s="341" t="s">
        <v>352</v>
      </c>
      <c r="KM5" s="260">
        <f>SUM(KM6:KM51)</f>
        <v>61259.000000000007</v>
      </c>
      <c r="KN5" s="452">
        <v>7000</v>
      </c>
      <c r="KO5" s="453">
        <v>45342</v>
      </c>
      <c r="KP5" s="341" t="s">
        <v>2904</v>
      </c>
      <c r="KQ5" s="321">
        <v>-30</v>
      </c>
      <c r="KR5" s="341" t="s">
        <v>352</v>
      </c>
      <c r="KS5" s="260">
        <f>SUM(KS6:KS52)</f>
        <v>9848.3199999999961</v>
      </c>
      <c r="KT5" s="454">
        <v>150000</v>
      </c>
      <c r="KU5" s="455">
        <v>45356</v>
      </c>
      <c r="KV5" s="595" t="s">
        <v>2559</v>
      </c>
      <c r="KW5" s="470">
        <v>-200</v>
      </c>
      <c r="KX5" s="341" t="s">
        <v>352</v>
      </c>
      <c r="KY5" s="260">
        <f>SUM(KY6:KY62)</f>
        <v>10341.459999999997</v>
      </c>
      <c r="KZ5" s="602" t="s">
        <v>3110</v>
      </c>
      <c r="LA5" s="455" t="s">
        <v>3109</v>
      </c>
      <c r="LB5" s="625" t="s">
        <v>2559</v>
      </c>
      <c r="LC5" s="470">
        <v>-200</v>
      </c>
      <c r="LD5" s="624" t="s">
        <v>352</v>
      </c>
      <c r="LE5" s="260">
        <f>SUM(LE6:LE55)</f>
        <v>28494.219999999998</v>
      </c>
      <c r="LF5" s="454">
        <v>5000</v>
      </c>
      <c r="LG5" s="455">
        <v>45468</v>
      </c>
    </row>
    <row r="6" spans="1:321">
      <c r="A6" s="468" t="s">
        <v>432</v>
      </c>
      <c r="B6" s="469">
        <v>1309</v>
      </c>
      <c r="E6" s="341" t="s">
        <v>359</v>
      </c>
      <c r="F6" s="341">
        <f>SUM(F7:F14)</f>
        <v>12750</v>
      </c>
      <c r="G6" s="468" t="s">
        <v>432</v>
      </c>
      <c r="H6" s="469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68"/>
      <c r="N6" s="469"/>
      <c r="O6" s="341" t="s">
        <v>1008</v>
      </c>
      <c r="Q6" s="170"/>
      <c r="S6" s="468"/>
      <c r="T6" s="469"/>
      <c r="U6" s="341" t="s">
        <v>1071</v>
      </c>
      <c r="V6" s="341">
        <v>0</v>
      </c>
      <c r="W6" s="170"/>
      <c r="Y6" s="468"/>
      <c r="Z6" s="469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68"/>
      <c r="AF6" s="469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68" t="s">
        <v>1097</v>
      </c>
      <c r="AL6" s="469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68" t="s">
        <v>1097</v>
      </c>
      <c r="AR6" s="469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68" t="s">
        <v>1097</v>
      </c>
      <c r="AX6" s="469">
        <v>9933</v>
      </c>
      <c r="BA6" s="468" t="s">
        <v>1097</v>
      </c>
      <c r="BB6" s="469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68" t="s">
        <v>1097</v>
      </c>
      <c r="BH6" s="469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8" t="s">
        <v>1097</v>
      </c>
      <c r="BN6" s="469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8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8" t="s">
        <v>1097</v>
      </c>
      <c r="BZ6" s="469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8" t="s">
        <v>1097</v>
      </c>
      <c r="CF6" s="469">
        <v>42940</v>
      </c>
      <c r="CG6" s="204"/>
      <c r="CI6" s="217" t="s">
        <v>359</v>
      </c>
      <c r="CJ6" s="217">
        <f>SUM(CJ12:CJ16)</f>
        <v>3000.09</v>
      </c>
      <c r="CK6" s="468" t="s">
        <v>1097</v>
      </c>
      <c r="CL6" s="469">
        <v>50905</v>
      </c>
      <c r="CM6" s="204"/>
      <c r="CO6" s="217" t="s">
        <v>359</v>
      </c>
      <c r="CP6" s="217">
        <f>SUM(CP12:CP15)</f>
        <v>1900.1</v>
      </c>
      <c r="CQ6" s="468" t="s">
        <v>1097</v>
      </c>
      <c r="CR6" s="469">
        <v>50071</v>
      </c>
      <c r="CS6" s="204"/>
      <c r="CU6" s="217" t="s">
        <v>359</v>
      </c>
      <c r="CV6" s="217">
        <f>SUM(CV12:CV15)</f>
        <v>1934.01</v>
      </c>
      <c r="CW6" s="468" t="s">
        <v>1097</v>
      </c>
      <c r="CX6" s="469">
        <v>54757</v>
      </c>
      <c r="CY6" s="204"/>
      <c r="DA6" s="271" t="s">
        <v>359</v>
      </c>
      <c r="DB6" s="217">
        <f>SUM(DB12:DB15)</f>
        <v>1930.2199999999998</v>
      </c>
      <c r="DC6" s="468" t="s">
        <v>1097</v>
      </c>
      <c r="DD6" s="469">
        <v>39905</v>
      </c>
      <c r="DE6" s="204"/>
      <c r="DG6" s="271" t="s">
        <v>359</v>
      </c>
      <c r="DH6" s="274">
        <f>SUM(DH12:DH22)</f>
        <v>6982.0500000000011</v>
      </c>
      <c r="DI6" s="468" t="s">
        <v>1097</v>
      </c>
      <c r="DJ6" s="469">
        <v>68</v>
      </c>
      <c r="DK6" s="204"/>
      <c r="DM6" s="271" t="s">
        <v>359</v>
      </c>
      <c r="DN6" s="278">
        <f>SUM(DN12:DN18)</f>
        <v>16816.259999999998</v>
      </c>
      <c r="DO6" s="473" t="s">
        <v>1269</v>
      </c>
      <c r="DP6" s="469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4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5" t="s">
        <v>2172</v>
      </c>
      <c r="HU6" s="476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2664</v>
      </c>
      <c r="JE6" s="259">
        <f>-140000-71000</f>
        <v>-211000</v>
      </c>
      <c r="JF6" s="341" t="s">
        <v>2508</v>
      </c>
      <c r="JG6" s="321">
        <v>-1401</v>
      </c>
      <c r="JH6" s="192" t="s">
        <v>2612</v>
      </c>
      <c r="JI6" s="341">
        <v>2000.06</v>
      </c>
      <c r="JJ6" s="341" t="s">
        <v>2664</v>
      </c>
      <c r="JK6" s="259">
        <v>-71000</v>
      </c>
      <c r="JM6" s="321"/>
      <c r="JN6" s="192" t="s">
        <v>2655</v>
      </c>
      <c r="JO6" s="341">
        <v>1000.07</v>
      </c>
      <c r="JP6" s="204" t="s">
        <v>2807</v>
      </c>
      <c r="JQ6" s="319"/>
      <c r="JR6" s="341" t="s">
        <v>2559</v>
      </c>
      <c r="JS6" s="470" t="s">
        <v>2702</v>
      </c>
      <c r="JT6" s="415" t="s">
        <v>2793</v>
      </c>
      <c r="JU6" s="425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5" t="s">
        <v>2784</v>
      </c>
      <c r="KA6" s="202">
        <v>1000.08</v>
      </c>
      <c r="KB6" s="285" t="s">
        <v>2572</v>
      </c>
      <c r="KC6" s="319">
        <v>-82000</v>
      </c>
      <c r="KE6" s="321"/>
      <c r="KF6" s="415" t="s">
        <v>1002</v>
      </c>
      <c r="KG6" s="341">
        <v>1900.09</v>
      </c>
      <c r="KH6" s="204" t="s">
        <v>2875</v>
      </c>
      <c r="KI6" s="319">
        <v>150000</v>
      </c>
      <c r="KJ6" s="341" t="s">
        <v>2904</v>
      </c>
      <c r="KK6" s="321">
        <v>-5.01</v>
      </c>
      <c r="KL6" s="447" t="s">
        <v>1002</v>
      </c>
      <c r="KM6" s="446">
        <v>1900.1</v>
      </c>
      <c r="KN6" s="454">
        <v>150000</v>
      </c>
      <c r="KO6" s="455">
        <v>45356</v>
      </c>
      <c r="KQ6" s="321"/>
      <c r="KR6" s="447" t="s">
        <v>3037</v>
      </c>
      <c r="KS6" s="446">
        <v>2000</v>
      </c>
      <c r="KT6" s="454">
        <v>20000</v>
      </c>
      <c r="KU6" s="455">
        <v>45370</v>
      </c>
      <c r="KV6" s="593" t="s">
        <v>3091</v>
      </c>
      <c r="KW6" s="202">
        <v>6.66</v>
      </c>
      <c r="KX6" s="447" t="s">
        <v>3106</v>
      </c>
      <c r="KY6" s="260">
        <v>50</v>
      </c>
      <c r="KZ6" s="454">
        <v>10000</v>
      </c>
      <c r="LA6" s="455">
        <v>45440</v>
      </c>
      <c r="LB6" s="629" t="s">
        <v>3209</v>
      </c>
      <c r="LC6" s="202">
        <v>200</v>
      </c>
      <c r="LD6" s="447" t="s">
        <v>3118</v>
      </c>
      <c r="LE6" s="260" t="s">
        <v>3117</v>
      </c>
      <c r="LF6" s="494" t="s">
        <v>2991</v>
      </c>
      <c r="LG6" s="456">
        <v>272000</v>
      </c>
    </row>
    <row r="7" spans="1:321" ht="13.5" thickBot="1">
      <c r="A7" s="468" t="s">
        <v>443</v>
      </c>
      <c r="B7" s="469">
        <v>18723</v>
      </c>
      <c r="E7" s="341" t="s">
        <v>1003</v>
      </c>
      <c r="G7" s="468" t="s">
        <v>443</v>
      </c>
      <c r="H7" s="469">
        <v>6223</v>
      </c>
      <c r="K7" s="341" t="s">
        <v>1003</v>
      </c>
      <c r="M7" s="468"/>
      <c r="N7" s="469"/>
      <c r="P7" s="341">
        <v>652</v>
      </c>
      <c r="Q7" s="341" t="s">
        <v>359</v>
      </c>
      <c r="R7" s="341">
        <f>SUM(R14:R16)</f>
        <v>6200.1900000000005</v>
      </c>
      <c r="S7" s="468"/>
      <c r="T7" s="469"/>
      <c r="W7" s="341" t="s">
        <v>359</v>
      </c>
      <c r="X7" s="341">
        <f>SUM(X13:X14)</f>
        <v>2600.11</v>
      </c>
      <c r="Y7" s="468"/>
      <c r="Z7" s="469"/>
      <c r="AC7" s="341" t="s">
        <v>1003</v>
      </c>
      <c r="AD7" s="341">
        <f>SUM(AD18:AD22)</f>
        <v>316.351</v>
      </c>
      <c r="AE7" s="468"/>
      <c r="AF7" s="469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77"/>
      <c r="AL7" s="478"/>
      <c r="AO7" s="341" t="s">
        <v>1003</v>
      </c>
      <c r="AP7" s="341">
        <f>SUM(AP25:AP31)</f>
        <v>527.4</v>
      </c>
      <c r="AQ7" s="477" t="s">
        <v>1111</v>
      </c>
      <c r="AR7" s="478">
        <v>-154</v>
      </c>
      <c r="AU7" s="341" t="s">
        <v>1003</v>
      </c>
      <c r="AV7" s="341">
        <f>SUM(AV25:AV31)</f>
        <v>466.23</v>
      </c>
      <c r="AW7" s="477" t="s">
        <v>1111</v>
      </c>
      <c r="AX7" s="478">
        <v>-152</v>
      </c>
      <c r="BA7" s="477" t="s">
        <v>1111</v>
      </c>
      <c r="BB7" s="469">
        <f t="shared" si="0"/>
        <v>-152</v>
      </c>
      <c r="BE7" s="341" t="s">
        <v>1003</v>
      </c>
      <c r="BF7" s="341">
        <f>SUM(BF23:BF29)</f>
        <v>337.28</v>
      </c>
      <c r="BG7" s="477" t="s">
        <v>1111</v>
      </c>
      <c r="BH7" s="478">
        <v>-5</v>
      </c>
      <c r="BK7" s="217" t="s">
        <v>1003</v>
      </c>
      <c r="BL7" s="217">
        <f>SUM(BL23:BL29)</f>
        <v>216.62</v>
      </c>
      <c r="BM7" s="477" t="s">
        <v>1269</v>
      </c>
      <c r="BN7" s="478">
        <v>-33</v>
      </c>
      <c r="BQ7" s="217" t="s">
        <v>1003</v>
      </c>
      <c r="BR7" s="217">
        <f>SUM(BR23:BR29)</f>
        <v>409.53999999999996</v>
      </c>
      <c r="BS7" s="477" t="s">
        <v>1269</v>
      </c>
      <c r="BT7" s="479">
        <v>-25</v>
      </c>
      <c r="BW7" s="217" t="s">
        <v>1003</v>
      </c>
      <c r="BX7" s="217">
        <f>SUM(BX23:BX29)</f>
        <v>325.44</v>
      </c>
      <c r="BY7" s="477" t="s">
        <v>1269</v>
      </c>
      <c r="BZ7" s="478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7" t="s">
        <v>1269</v>
      </c>
      <c r="CF7" s="478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7" t="s">
        <v>1269</v>
      </c>
      <c r="CL7" s="478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7" t="s">
        <v>1269</v>
      </c>
      <c r="CR7" s="478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8" t="s">
        <v>1269</v>
      </c>
      <c r="CX7" s="469">
        <v>-18</v>
      </c>
      <c r="CY7" s="217" t="s">
        <v>1053</v>
      </c>
      <c r="DA7" s="270" t="s">
        <v>1392</v>
      </c>
      <c r="DB7" s="217">
        <f>DB16</f>
        <v>288.75</v>
      </c>
      <c r="DC7" s="468" t="s">
        <v>1390</v>
      </c>
      <c r="DD7" s="469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8" t="s">
        <v>1390</v>
      </c>
      <c r="DJ7" s="478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0" t="s">
        <v>1580</v>
      </c>
      <c r="DS7" s="294" t="s">
        <v>359</v>
      </c>
      <c r="DT7" s="293">
        <f>SUM(DT13:DT17)</f>
        <v>36900.06</v>
      </c>
      <c r="DU7" s="481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2">
        <v>7000</v>
      </c>
      <c r="HU7" s="483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1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2730</v>
      </c>
      <c r="JS7" s="470">
        <v>236.43</v>
      </c>
      <c r="JT7" s="415" t="s">
        <v>1002</v>
      </c>
      <c r="JU7" s="341">
        <v>1900.06</v>
      </c>
      <c r="JV7" s="341" t="s">
        <v>2677</v>
      </c>
      <c r="JW7" s="259">
        <v>585077</v>
      </c>
      <c r="JY7" s="321"/>
      <c r="JZ7" s="415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2860</v>
      </c>
      <c r="KE7" s="484">
        <f>ABS(KC3+KC4)</f>
        <v>211000</v>
      </c>
      <c r="KF7" s="300" t="s">
        <v>2866</v>
      </c>
      <c r="KG7" s="341">
        <v>10.25</v>
      </c>
      <c r="KH7" s="341" t="s">
        <v>2898</v>
      </c>
      <c r="KI7" s="259">
        <v>-70600</v>
      </c>
      <c r="KJ7" s="341" t="s">
        <v>2984</v>
      </c>
      <c r="KK7" s="321">
        <v>-1800</v>
      </c>
      <c r="KL7" s="300" t="s">
        <v>2925</v>
      </c>
      <c r="KM7" s="341">
        <v>1112.4000000000001</v>
      </c>
      <c r="KN7" s="454">
        <v>20000</v>
      </c>
      <c r="KO7" s="455">
        <v>45370</v>
      </c>
      <c r="KP7" s="341" t="s">
        <v>3089</v>
      </c>
      <c r="KQ7" s="332"/>
      <c r="KR7" s="447" t="s">
        <v>1002</v>
      </c>
      <c r="KS7" s="446">
        <v>1900.11</v>
      </c>
      <c r="KT7" s="454">
        <v>20000</v>
      </c>
      <c r="KU7" s="455">
        <v>45384</v>
      </c>
      <c r="KV7" s="593"/>
      <c r="KW7" s="202"/>
      <c r="KX7" s="447" t="s">
        <v>1002</v>
      </c>
      <c r="KY7" s="446">
        <v>1900.12</v>
      </c>
      <c r="KZ7" s="494" t="s">
        <v>2991</v>
      </c>
      <c r="LA7" s="456">
        <v>262000</v>
      </c>
      <c r="LB7" s="629"/>
      <c r="LC7" s="639"/>
      <c r="LD7" s="447" t="s">
        <v>3153</v>
      </c>
      <c r="LE7" s="260">
        <f>1000+2000+5000</f>
        <v>8000</v>
      </c>
      <c r="LF7" s="624" t="s">
        <v>2898</v>
      </c>
      <c r="LG7" s="259">
        <v>-70600</v>
      </c>
    </row>
    <row r="8" spans="1:321" ht="12.75" customHeight="1">
      <c r="A8" s="468"/>
      <c r="B8" s="469"/>
      <c r="E8" s="341" t="s">
        <v>1005</v>
      </c>
      <c r="G8" s="468"/>
      <c r="H8" s="469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5" t="s">
        <v>1058</v>
      </c>
      <c r="AL8" s="486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5" t="s">
        <v>1058</v>
      </c>
      <c r="AR8" s="486">
        <v>100</v>
      </c>
      <c r="AS8" s="341" t="s">
        <v>1053</v>
      </c>
      <c r="AU8" s="341" t="s">
        <v>1005</v>
      </c>
      <c r="AV8" s="341">
        <f>SUM(AV20:AV24)</f>
        <v>522</v>
      </c>
      <c r="AW8" s="485" t="s">
        <v>1058</v>
      </c>
      <c r="AX8" s="486">
        <v>200</v>
      </c>
      <c r="BA8" s="485" t="s">
        <v>1058</v>
      </c>
      <c r="BB8" s="469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5" t="s">
        <v>1058</v>
      </c>
      <c r="BH8" s="486">
        <v>150</v>
      </c>
      <c r="BI8" s="217" t="s">
        <v>1053</v>
      </c>
      <c r="BK8" s="217" t="s">
        <v>1005</v>
      </c>
      <c r="BL8" s="217">
        <f>SUM(BL18:BL22)</f>
        <v>387</v>
      </c>
      <c r="BM8" s="485" t="s">
        <v>1058</v>
      </c>
      <c r="BN8" s="486">
        <v>90</v>
      </c>
      <c r="BO8" s="217" t="s">
        <v>1053</v>
      </c>
      <c r="BQ8" s="217" t="s">
        <v>1005</v>
      </c>
      <c r="BR8" s="217">
        <f>SUM(BR18:BR22)</f>
        <v>452</v>
      </c>
      <c r="BS8" s="485" t="s">
        <v>1058</v>
      </c>
      <c r="BT8" s="487">
        <v>100</v>
      </c>
      <c r="BU8" s="217" t="s">
        <v>1053</v>
      </c>
      <c r="BW8" s="217" t="s">
        <v>1005</v>
      </c>
      <c r="BX8" s="217">
        <f>SUM(BX18:BX22)</f>
        <v>172</v>
      </c>
      <c r="BY8" s="485" t="s">
        <v>1058</v>
      </c>
      <c r="BZ8" s="488">
        <v>60</v>
      </c>
      <c r="CA8" s="217" t="s">
        <v>1053</v>
      </c>
      <c r="CC8" s="217" t="s">
        <v>1005</v>
      </c>
      <c r="CD8" s="217">
        <f>SUM(CD18:CD22)</f>
        <v>215</v>
      </c>
      <c r="CE8" s="485" t="s">
        <v>1058</v>
      </c>
      <c r="CF8" s="488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5" t="s">
        <v>1058</v>
      </c>
      <c r="CL8" s="488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5" t="s">
        <v>1058</v>
      </c>
      <c r="CR8" s="488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8" t="s">
        <v>1269</v>
      </c>
      <c r="DD8" s="469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3" t="s">
        <v>1269</v>
      </c>
      <c r="DJ8" s="469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1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9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1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1">
        <v>300</v>
      </c>
      <c r="GN8" s="312" t="s">
        <v>1929</v>
      </c>
      <c r="GO8" s="263">
        <f>SUM(GO14)</f>
        <v>0</v>
      </c>
      <c r="GP8" s="204" t="s">
        <v>1953</v>
      </c>
      <c r="GQ8" s="471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1">
        <v>29.05</v>
      </c>
      <c r="GX8" s="197" t="s">
        <v>1580</v>
      </c>
      <c r="GZ8" s="302" t="s">
        <v>1684</v>
      </c>
      <c r="HA8" s="446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1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1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1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2627</v>
      </c>
      <c r="JI8" s="202">
        <v>327.74</v>
      </c>
      <c r="JJ8" s="320" t="s">
        <v>2571</v>
      </c>
      <c r="JK8" s="259">
        <v>-4000</v>
      </c>
      <c r="JL8" s="489" t="s">
        <v>2644</v>
      </c>
      <c r="JM8" s="341">
        <v>2.5</v>
      </c>
      <c r="JN8" s="313" t="s">
        <v>2680</v>
      </c>
      <c r="JO8" s="202">
        <v>48.69</v>
      </c>
      <c r="JP8" s="490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1">
        <v>61</v>
      </c>
      <c r="JX8" s="341" t="s">
        <v>2820</v>
      </c>
      <c r="JY8" s="470">
        <v>60</v>
      </c>
      <c r="JZ8" s="415" t="s">
        <v>1002</v>
      </c>
      <c r="KA8" s="341">
        <v>1900.08</v>
      </c>
      <c r="KB8" s="341" t="s">
        <v>3186</v>
      </c>
      <c r="KC8" s="259">
        <v>640008</v>
      </c>
      <c r="KD8" s="341" t="s">
        <v>2859</v>
      </c>
      <c r="KE8" s="491"/>
      <c r="KF8" s="243" t="s">
        <v>2864</v>
      </c>
      <c r="KG8" s="319">
        <v>2000</v>
      </c>
      <c r="KH8" s="341" t="s">
        <v>2899</v>
      </c>
      <c r="KI8" s="259">
        <f>-135000</f>
        <v>-135000</v>
      </c>
      <c r="KJ8" s="341" t="s">
        <v>2983</v>
      </c>
      <c r="KK8" s="321">
        <v>-1800.01</v>
      </c>
      <c r="KL8" s="300" t="s">
        <v>2952</v>
      </c>
      <c r="KM8" s="202">
        <v>9.4499999999999993</v>
      </c>
      <c r="KN8" s="454">
        <v>20000</v>
      </c>
      <c r="KO8" s="455">
        <v>45384</v>
      </c>
      <c r="KP8" s="204" t="s">
        <v>3034</v>
      </c>
      <c r="KQ8" s="321">
        <v>3010</v>
      </c>
      <c r="KR8" s="300" t="s">
        <v>2925</v>
      </c>
      <c r="KS8" s="202">
        <f>874.8+75.4</f>
        <v>950.19999999999993</v>
      </c>
      <c r="KT8" s="454">
        <v>30000</v>
      </c>
      <c r="KU8" s="455">
        <v>45398</v>
      </c>
      <c r="KV8" s="589" t="s">
        <v>3089</v>
      </c>
      <c r="KW8" s="321"/>
      <c r="KX8" s="300" t="s">
        <v>2925</v>
      </c>
      <c r="KY8" s="202">
        <v>993.6</v>
      </c>
      <c r="KZ8" s="341" t="s">
        <v>2898</v>
      </c>
      <c r="LA8" s="259">
        <v>-70600</v>
      </c>
      <c r="LB8" s="624" t="s">
        <v>3089</v>
      </c>
      <c r="LC8" s="321"/>
      <c r="LD8" s="447" t="s">
        <v>1002</v>
      </c>
      <c r="LE8" s="446">
        <f>1900.01</f>
        <v>1900.01</v>
      </c>
      <c r="LF8" s="624" t="s">
        <v>3003</v>
      </c>
      <c r="LG8" s="259">
        <v>-115915</v>
      </c>
      <c r="LH8" s="467">
        <v>45288</v>
      </c>
    </row>
    <row r="9" spans="1:321" ht="12.75" customHeight="1">
      <c r="A9" s="468"/>
      <c r="B9" s="469"/>
      <c r="E9" s="341" t="s">
        <v>1006</v>
      </c>
      <c r="G9" s="468"/>
      <c r="H9" s="469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69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1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2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9"/>
      <c r="DS9" s="267" t="s">
        <v>1581</v>
      </c>
      <c r="DT9" s="274">
        <f>SUM(DT50:DT50)</f>
        <v>0</v>
      </c>
      <c r="DU9" s="218" t="s">
        <v>1096</v>
      </c>
      <c r="DV9" s="469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1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1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1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1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1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1">
        <v>38</v>
      </c>
      <c r="HD9" s="341" t="s">
        <v>2109</v>
      </c>
      <c r="HE9" s="341">
        <f>63.92+6.4</f>
        <v>70.320000000000007</v>
      </c>
      <c r="HF9" s="302" t="s">
        <v>1684</v>
      </c>
      <c r="HG9" s="446">
        <f>SUM(HG20:HG27)</f>
        <v>957.34666666666681</v>
      </c>
      <c r="HH9" s="204" t="s">
        <v>1874</v>
      </c>
      <c r="HI9" s="471">
        <v>30</v>
      </c>
      <c r="HJ9" s="326" t="s">
        <v>2181</v>
      </c>
      <c r="HK9" s="341">
        <f>86</f>
        <v>86</v>
      </c>
      <c r="HL9" s="243" t="s">
        <v>2040</v>
      </c>
      <c r="HM9" s="446">
        <f>HM10*5</f>
        <v>2104.9333333333334</v>
      </c>
      <c r="HN9" s="204" t="s">
        <v>1953</v>
      </c>
      <c r="HO9" s="471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1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1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3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1">
        <v>116</v>
      </c>
      <c r="IU9" s="321"/>
      <c r="IV9" s="305" t="s">
        <v>2498</v>
      </c>
      <c r="IW9" s="202">
        <v>2000</v>
      </c>
      <c r="IX9" s="490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0" t="s">
        <v>2510</v>
      </c>
      <c r="JE9" s="259">
        <f>100*(120+1000+330+310)</f>
        <v>176000</v>
      </c>
      <c r="JF9" s="489" t="s">
        <v>2641</v>
      </c>
      <c r="JH9" s="300" t="s">
        <v>2925</v>
      </c>
      <c r="JI9" s="202">
        <v>1954.8</v>
      </c>
      <c r="JJ9" s="490" t="s">
        <v>2510</v>
      </c>
      <c r="JK9" s="259">
        <f>100*(120+1000+330+310)</f>
        <v>176000</v>
      </c>
      <c r="JL9" s="341" t="s">
        <v>2683</v>
      </c>
      <c r="JM9" s="341">
        <v>4.09</v>
      </c>
      <c r="JN9" s="313" t="s">
        <v>2646</v>
      </c>
      <c r="JO9" s="202">
        <v>127.14</v>
      </c>
      <c r="JP9" s="341" t="s">
        <v>2677</v>
      </c>
      <c r="JQ9" s="259">
        <v>515008</v>
      </c>
      <c r="JR9" s="489" t="s">
        <v>2715</v>
      </c>
      <c r="JS9" s="341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1"/>
      <c r="JZ9" s="415" t="s">
        <v>2839</v>
      </c>
      <c r="KA9" s="202">
        <f>27+270.45+2700</f>
        <v>2997.45</v>
      </c>
      <c r="KB9" s="285" t="s">
        <v>2403</v>
      </c>
      <c r="KC9" s="342">
        <v>0</v>
      </c>
      <c r="KE9" s="491"/>
      <c r="KF9" s="243" t="s">
        <v>2842</v>
      </c>
      <c r="KG9" s="321">
        <v>64875.360000000001</v>
      </c>
      <c r="KH9" s="341" t="s">
        <v>2895</v>
      </c>
      <c r="KI9" s="321">
        <v>4053</v>
      </c>
      <c r="KJ9" s="481" t="s">
        <v>2944</v>
      </c>
      <c r="KK9" s="396">
        <v>1.77</v>
      </c>
      <c r="KL9" s="300" t="s">
        <v>2943</v>
      </c>
      <c r="KM9" s="341">
        <v>79.72</v>
      </c>
      <c r="KN9" s="494" t="s">
        <v>2991</v>
      </c>
      <c r="KO9" s="456">
        <f>SUM(KN5:KN8)</f>
        <v>197000</v>
      </c>
      <c r="KP9" s="341" t="s">
        <v>2834</v>
      </c>
      <c r="KQ9" s="396">
        <f>72.67+1.57</f>
        <v>74.239999999999995</v>
      </c>
      <c r="KR9" s="300" t="s">
        <v>3016</v>
      </c>
      <c r="KS9" s="341">
        <v>487</v>
      </c>
      <c r="KT9" s="454">
        <v>20000</v>
      </c>
      <c r="KU9" s="455">
        <v>45412</v>
      </c>
      <c r="KV9" s="590" t="s">
        <v>3092</v>
      </c>
      <c r="KW9" s="332">
        <v>3129.11</v>
      </c>
      <c r="KX9" s="300" t="s">
        <v>3103</v>
      </c>
      <c r="KY9" s="341">
        <f>11+4</f>
        <v>15</v>
      </c>
      <c r="KZ9" s="341" t="s">
        <v>3003</v>
      </c>
      <c r="LA9" s="259">
        <v>-119500</v>
      </c>
      <c r="LB9" s="624" t="s">
        <v>2834</v>
      </c>
      <c r="LC9" s="396">
        <v>61.000999999999998</v>
      </c>
      <c r="LD9" s="448" t="s">
        <v>2076</v>
      </c>
      <c r="LE9" s="446">
        <v>291.25</v>
      </c>
      <c r="LF9" s="621" t="s">
        <v>2992</v>
      </c>
      <c r="LG9" s="319">
        <v>-82000</v>
      </c>
      <c r="LH9" s="467">
        <v>45288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1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1" t="s">
        <v>993</v>
      </c>
      <c r="AL10" s="286">
        <v>5000</v>
      </c>
      <c r="AO10" s="341" t="s">
        <v>1066</v>
      </c>
      <c r="AP10" s="341">
        <f>SUM(AP33:AP44)</f>
        <v>1111.54</v>
      </c>
      <c r="AQ10" s="481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1" t="s">
        <v>993</v>
      </c>
      <c r="AX10" s="286">
        <v>4000</v>
      </c>
      <c r="BA10" s="481" t="s">
        <v>993</v>
      </c>
      <c r="BB10" s="469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1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1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1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1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1" t="s">
        <v>1412</v>
      </c>
      <c r="DD10" s="492">
        <v>5000</v>
      </c>
      <c r="DG10" s="269" t="s">
        <v>1206</v>
      </c>
      <c r="DH10" s="274">
        <f>SUM(DH36:DH44)</f>
        <v>459.96999999999997</v>
      </c>
      <c r="DI10" s="481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9">
        <v>-2524</v>
      </c>
      <c r="DS10" s="256" t="s">
        <v>1582</v>
      </c>
      <c r="DT10" s="274">
        <f>SUM(DT19:DT27)</f>
        <v>10919.66</v>
      </c>
      <c r="DU10" s="218" t="s">
        <v>129</v>
      </c>
      <c r="DV10" s="469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4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1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1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1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1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6">
        <f>2525.92/6</f>
        <v>420.98666666666668</v>
      </c>
      <c r="HN10" s="204" t="s">
        <v>1874</v>
      </c>
      <c r="HO10" s="471">
        <v>16</v>
      </c>
      <c r="HQ10" s="202"/>
      <c r="HR10" s="243" t="s">
        <v>2204</v>
      </c>
      <c r="HS10" s="341">
        <v>156.5</v>
      </c>
      <c r="HT10" s="204" t="s">
        <v>1874</v>
      </c>
      <c r="HU10" s="471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3">
        <v>3179</v>
      </c>
      <c r="IL10" s="204" t="s">
        <v>2288</v>
      </c>
      <c r="IM10" s="471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5">
        <v>2000</v>
      </c>
      <c r="IX10" s="341" t="s">
        <v>2362</v>
      </c>
      <c r="IY10" s="259">
        <v>360000</v>
      </c>
      <c r="JA10" s="321"/>
      <c r="JB10" s="313" t="s">
        <v>2601</v>
      </c>
      <c r="JC10" s="495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1">
        <v>0</v>
      </c>
      <c r="JL10" s="341" t="s">
        <v>2354</v>
      </c>
      <c r="JM10" s="332"/>
      <c r="JN10" s="300" t="s">
        <v>2672</v>
      </c>
      <c r="JO10" s="202">
        <f>259.2+410.4</f>
        <v>669.59999999999991</v>
      </c>
      <c r="JP10" s="285" t="s">
        <v>2403</v>
      </c>
      <c r="JQ10" s="471">
        <v>31</v>
      </c>
      <c r="JR10" s="489" t="s">
        <v>2727</v>
      </c>
      <c r="JS10" s="341">
        <v>3.4</v>
      </c>
      <c r="JT10" s="300" t="s">
        <v>2738</v>
      </c>
      <c r="JU10" s="336">
        <v>5.38</v>
      </c>
      <c r="JV10" s="285" t="s">
        <v>1630</v>
      </c>
      <c r="JW10" s="319">
        <v>-123</v>
      </c>
      <c r="JX10" s="341" t="s">
        <v>2822</v>
      </c>
      <c r="JY10" s="332"/>
      <c r="JZ10" s="313" t="s">
        <v>2849</v>
      </c>
      <c r="KA10" s="202">
        <v>5.99</v>
      </c>
      <c r="KB10" s="204" t="s">
        <v>2814</v>
      </c>
      <c r="KC10" s="471">
        <v>-166</v>
      </c>
      <c r="KD10" s="341" t="s">
        <v>2822</v>
      </c>
      <c r="KE10" s="332"/>
      <c r="KF10" s="243" t="s">
        <v>2841</v>
      </c>
      <c r="KG10" s="321">
        <f>136363-KG12</f>
        <v>136169.60999999999</v>
      </c>
      <c r="KH10" s="341" t="s">
        <v>2902</v>
      </c>
      <c r="KI10" s="321"/>
      <c r="KK10" s="321"/>
      <c r="KL10" s="254" t="s">
        <v>3004</v>
      </c>
      <c r="KM10" s="341">
        <f>82.58+102.97</f>
        <v>185.55</v>
      </c>
      <c r="KN10" s="341" t="s">
        <v>2898</v>
      </c>
      <c r="KO10" s="259">
        <v>-70600</v>
      </c>
      <c r="KP10" s="204" t="s">
        <v>3032</v>
      </c>
      <c r="KQ10" s="396">
        <v>35.14</v>
      </c>
      <c r="KR10" s="300" t="s">
        <v>3063</v>
      </c>
      <c r="KS10" s="341">
        <v>6.48</v>
      </c>
      <c r="KT10" s="494" t="s">
        <v>2991</v>
      </c>
      <c r="KU10" s="456">
        <f>SUM(KT4:KT9)</f>
        <v>247000</v>
      </c>
      <c r="KV10" s="341" t="s">
        <v>2834</v>
      </c>
      <c r="KW10" s="396">
        <v>73</v>
      </c>
      <c r="KX10" s="300" t="s">
        <v>3104</v>
      </c>
      <c r="KY10" s="204">
        <v>20</v>
      </c>
      <c r="KZ10" s="285" t="s">
        <v>2992</v>
      </c>
      <c r="LA10" s="319">
        <v>-82000</v>
      </c>
      <c r="LB10" s="625" t="s">
        <v>3167</v>
      </c>
      <c r="LC10" s="396">
        <v>26.18</v>
      </c>
      <c r="LD10" s="448" t="s">
        <v>3206</v>
      </c>
      <c r="LE10" s="446">
        <v>119.42</v>
      </c>
      <c r="LF10" s="626" t="s">
        <v>2571</v>
      </c>
      <c r="LG10" s="259">
        <v>-4000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69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69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69"/>
      <c r="AA11" s="341" t="s">
        <v>1098</v>
      </c>
      <c r="AB11" s="341">
        <v>55</v>
      </c>
      <c r="AE11" s="481" t="s">
        <v>1081</v>
      </c>
      <c r="AF11" s="261">
        <v>-5000</v>
      </c>
      <c r="AG11" s="341" t="s">
        <v>1095</v>
      </c>
      <c r="AH11" s="341">
        <v>0</v>
      </c>
      <c r="AK11" s="481" t="s">
        <v>1081</v>
      </c>
      <c r="AL11" s="261">
        <v>-5000</v>
      </c>
      <c r="AM11" s="341" t="s">
        <v>1053</v>
      </c>
      <c r="AQ11" s="481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1" t="s">
        <v>1114</v>
      </c>
      <c r="AX11" s="261">
        <v>-4000</v>
      </c>
      <c r="AY11" s="192" t="s">
        <v>1240</v>
      </c>
      <c r="AZ11" s="259">
        <v>30000</v>
      </c>
      <c r="BA11" s="481" t="s">
        <v>1114</v>
      </c>
      <c r="BB11" s="469">
        <f t="shared" si="0"/>
        <v>-4000</v>
      </c>
      <c r="BC11" s="341" t="s">
        <v>1193</v>
      </c>
      <c r="BD11" s="341" t="s">
        <v>657</v>
      </c>
      <c r="BG11" s="481" t="s">
        <v>1114</v>
      </c>
      <c r="BH11" s="261">
        <v>-4000</v>
      </c>
      <c r="BI11" s="217" t="s">
        <v>1219</v>
      </c>
      <c r="BJ11" s="217">
        <v>24.47</v>
      </c>
      <c r="BM11" s="481" t="s">
        <v>1114</v>
      </c>
      <c r="BN11" s="261">
        <v>-4000</v>
      </c>
      <c r="BO11" s="261" t="s">
        <v>1252</v>
      </c>
      <c r="BP11" s="217">
        <v>71</v>
      </c>
      <c r="BS11" s="481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9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6" t="s">
        <v>423</v>
      </c>
      <c r="CX11" s="497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9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9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5" t="s">
        <v>1058</v>
      </c>
      <c r="EB11" s="341">
        <v>110</v>
      </c>
      <c r="EE11" s="243" t="s">
        <v>1002</v>
      </c>
      <c r="EF11" s="341">
        <v>1800.06</v>
      </c>
      <c r="EH11" s="490" t="s">
        <v>1635</v>
      </c>
      <c r="EI11" s="490"/>
      <c r="EJ11" s="341" t="s">
        <v>1561</v>
      </c>
      <c r="EK11" s="341">
        <v>47</v>
      </c>
      <c r="EL11" s="243" t="s">
        <v>1002</v>
      </c>
      <c r="EM11" s="341">
        <v>1800.07</v>
      </c>
      <c r="EN11" s="490" t="s">
        <v>1664</v>
      </c>
      <c r="EO11" s="490"/>
      <c r="ER11" s="305" t="s">
        <v>1002</v>
      </c>
      <c r="ES11" s="341">
        <v>1800.08</v>
      </c>
      <c r="ET11" s="490" t="s">
        <v>1693</v>
      </c>
      <c r="EU11" s="490"/>
      <c r="EX11" s="305" t="s">
        <v>1002</v>
      </c>
      <c r="EY11" s="341">
        <v>1800.09</v>
      </c>
      <c r="EZ11" s="490" t="s">
        <v>1729</v>
      </c>
      <c r="FA11" s="490"/>
      <c r="FD11" s="305" t="s">
        <v>1002</v>
      </c>
      <c r="FE11" s="341">
        <v>1800.1</v>
      </c>
      <c r="FF11" s="490" t="s">
        <v>1729</v>
      </c>
      <c r="FG11" s="490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1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6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1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2673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5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2672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6">
        <v>52.000999999999998</v>
      </c>
      <c r="JN11" s="243" t="s">
        <v>2717</v>
      </c>
      <c r="JO11" s="321">
        <v>1396.9</v>
      </c>
      <c r="JP11" s="285" t="s">
        <v>1630</v>
      </c>
      <c r="JQ11" s="319">
        <v>-1063</v>
      </c>
      <c r="JR11" s="489" t="s">
        <v>2744</v>
      </c>
      <c r="JS11" s="321">
        <v>1.21</v>
      </c>
      <c r="JT11" s="243" t="s">
        <v>2717</v>
      </c>
      <c r="JU11" s="321">
        <v>1371.77</v>
      </c>
      <c r="JV11" s="204" t="s">
        <v>2665</v>
      </c>
      <c r="JW11" s="259">
        <v>2600</v>
      </c>
      <c r="JX11" s="341" t="s">
        <v>2810</v>
      </c>
      <c r="JY11" s="396">
        <f>55.87+0.96</f>
        <v>56.83</v>
      </c>
      <c r="JZ11" s="300" t="s">
        <v>2802</v>
      </c>
      <c r="KA11" s="341">
        <v>29.9</v>
      </c>
      <c r="KB11" s="285" t="s">
        <v>1630</v>
      </c>
      <c r="KC11" s="319">
        <v>-217</v>
      </c>
      <c r="KD11" s="341" t="s">
        <v>2844</v>
      </c>
      <c r="KE11" s="321">
        <f>1.5%*519+1.82</f>
        <v>9.6050000000000004</v>
      </c>
      <c r="KF11" s="299" t="s">
        <v>2896</v>
      </c>
      <c r="KG11" s="321">
        <v>281.16000000000003</v>
      </c>
      <c r="KH11" s="285" t="s">
        <v>2572</v>
      </c>
      <c r="KI11" s="319">
        <v>-82000</v>
      </c>
      <c r="KJ11" s="341" t="s">
        <v>2822</v>
      </c>
      <c r="KK11" s="332"/>
      <c r="KL11" s="254" t="s">
        <v>2963</v>
      </c>
      <c r="KM11" s="446">
        <f>165.2+34.2</f>
        <v>199.39999999999998</v>
      </c>
      <c r="KN11" s="341" t="s">
        <v>2996</v>
      </c>
      <c r="KO11" s="259">
        <v>-127017</v>
      </c>
      <c r="KP11" s="204" t="s">
        <v>3090</v>
      </c>
      <c r="KQ11" s="341">
        <v>200</v>
      </c>
      <c r="KR11" s="591" t="s">
        <v>3043</v>
      </c>
      <c r="KS11" s="446">
        <v>141.03</v>
      </c>
      <c r="KT11" s="341" t="s">
        <v>2898</v>
      </c>
      <c r="KU11" s="259">
        <v>-70600</v>
      </c>
      <c r="KV11" s="595" t="s">
        <v>3100</v>
      </c>
      <c r="KW11" s="396">
        <v>288</v>
      </c>
      <c r="KX11" s="300" t="s">
        <v>3135</v>
      </c>
      <c r="KY11" s="613">
        <v>39.9</v>
      </c>
      <c r="KZ11" s="320" t="s">
        <v>2571</v>
      </c>
      <c r="LA11" s="259">
        <v>-4000</v>
      </c>
      <c r="LB11" s="625" t="s">
        <v>3105</v>
      </c>
      <c r="LC11" s="396">
        <v>5.3</v>
      </c>
      <c r="LD11" s="448" t="s">
        <v>3171</v>
      </c>
      <c r="LE11" s="446">
        <v>11.39</v>
      </c>
      <c r="LF11" s="626" t="s">
        <v>2433</v>
      </c>
      <c r="LG11" s="259">
        <v>0</v>
      </c>
      <c r="LH11" s="467">
        <v>45288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9">
        <v>-1030</v>
      </c>
      <c r="Q12" s="341" t="s">
        <v>1030</v>
      </c>
      <c r="R12" s="341">
        <f>SUM(R38:R39)</f>
        <v>800</v>
      </c>
      <c r="S12" s="218" t="s">
        <v>1096</v>
      </c>
      <c r="T12" s="469">
        <v>-960</v>
      </c>
      <c r="Y12" s="218" t="s">
        <v>1096</v>
      </c>
      <c r="Z12" s="469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9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9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9"/>
      <c r="CG12" s="204"/>
      <c r="CH12" s="204"/>
      <c r="CI12" s="254" t="s">
        <v>1002</v>
      </c>
      <c r="CJ12" s="217">
        <v>1800.09</v>
      </c>
      <c r="CK12" s="218" t="s">
        <v>1096</v>
      </c>
      <c r="CL12" s="469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9"/>
      <c r="CS12" s="261" t="s">
        <v>1368</v>
      </c>
      <c r="CT12" s="217">
        <v>11</v>
      </c>
      <c r="CU12" s="266" t="s">
        <v>1318</v>
      </c>
      <c r="CV12" s="217">
        <v>1800.11</v>
      </c>
      <c r="CW12" s="499" t="s">
        <v>1148</v>
      </c>
      <c r="CX12" s="500"/>
      <c r="CY12" s="261" t="s">
        <v>1368</v>
      </c>
      <c r="DA12" s="271" t="s">
        <v>1292</v>
      </c>
      <c r="DB12" s="204">
        <v>100</v>
      </c>
      <c r="DC12" s="496" t="s">
        <v>423</v>
      </c>
      <c r="DD12" s="497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9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9">
        <v>2.54</v>
      </c>
      <c r="DQ12" s="261"/>
      <c r="DU12" s="485" t="s">
        <v>1058</v>
      </c>
      <c r="DV12" s="488">
        <v>150</v>
      </c>
      <c r="DY12" s="243" t="s">
        <v>1002</v>
      </c>
      <c r="DZ12" s="341">
        <v>1800.05</v>
      </c>
      <c r="EA12" s="219" t="s">
        <v>1621</v>
      </c>
      <c r="EB12" s="501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6">
        <f>2525.92/6</f>
        <v>420.98666666666668</v>
      </c>
      <c r="HT12" s="204" t="s">
        <v>2179</v>
      </c>
      <c r="HU12" s="471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6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5">
        <v>378.81</v>
      </c>
      <c r="IX12" s="285" t="s">
        <v>1630</v>
      </c>
      <c r="IY12" s="341">
        <v>-997</v>
      </c>
      <c r="IZ12" s="341" t="s">
        <v>2926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2628</v>
      </c>
      <c r="JI12" s="502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2679</v>
      </c>
      <c r="JO12" s="321">
        <v>110000</v>
      </c>
      <c r="JP12" s="204" t="s">
        <v>2665</v>
      </c>
      <c r="JQ12" s="259">
        <v>2600</v>
      </c>
      <c r="JR12" s="489" t="s">
        <v>2743</v>
      </c>
      <c r="JT12" s="243" t="s">
        <v>2718</v>
      </c>
      <c r="JU12" s="321">
        <v>1478.09</v>
      </c>
      <c r="JV12" s="320" t="s">
        <v>2666</v>
      </c>
      <c r="JW12" s="259">
        <v>800</v>
      </c>
      <c r="JX12" s="341" t="s">
        <v>1798</v>
      </c>
      <c r="JY12" s="396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1" t="s">
        <v>2886</v>
      </c>
      <c r="KE12" s="396">
        <v>46</v>
      </c>
      <c r="KF12" s="299" t="s">
        <v>2958</v>
      </c>
      <c r="KG12" s="321">
        <v>193.39</v>
      </c>
      <c r="KH12" s="320" t="s">
        <v>2571</v>
      </c>
      <c r="KI12" s="259">
        <v>-4000</v>
      </c>
      <c r="KJ12" s="341" t="s">
        <v>2844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2972</v>
      </c>
      <c r="KP12" s="217"/>
      <c r="KQ12" s="396"/>
      <c r="KR12" s="300" t="s">
        <v>3075</v>
      </c>
      <c r="KS12" s="204">
        <v>15.2</v>
      </c>
      <c r="KT12" s="341" t="s">
        <v>3003</v>
      </c>
      <c r="KU12" s="259">
        <v>-123206</v>
      </c>
      <c r="KV12" s="204" t="s">
        <v>3101</v>
      </c>
      <c r="KW12" s="396">
        <f>32.02+3.51</f>
        <v>35.53</v>
      </c>
      <c r="KX12" s="300" t="s">
        <v>3129</v>
      </c>
      <c r="KY12" s="613">
        <v>113.21</v>
      </c>
      <c r="KZ12" s="320" t="s">
        <v>3005</v>
      </c>
      <c r="LA12" s="259">
        <v>1548</v>
      </c>
      <c r="LB12" s="652" t="s">
        <v>3204</v>
      </c>
      <c r="LC12" s="396">
        <v>10</v>
      </c>
      <c r="LD12" s="448" t="s">
        <v>3164</v>
      </c>
      <c r="LE12" s="240">
        <v>3200</v>
      </c>
      <c r="LF12" s="626" t="s">
        <v>3096</v>
      </c>
      <c r="LG12" s="259">
        <v>209004</v>
      </c>
      <c r="LH12" s="467">
        <v>45288</v>
      </c>
    </row>
    <row r="13" spans="1:321">
      <c r="A13" s="218" t="s">
        <v>239</v>
      </c>
      <c r="B13" s="469"/>
      <c r="E13" s="170"/>
      <c r="F13" s="170"/>
      <c r="G13" s="218" t="s">
        <v>239</v>
      </c>
      <c r="H13" s="469"/>
      <c r="K13" s="170"/>
      <c r="M13" s="218" t="s">
        <v>1035</v>
      </c>
      <c r="N13" s="469">
        <v>49</v>
      </c>
      <c r="O13" s="341" t="s">
        <v>1054</v>
      </c>
      <c r="S13" s="218" t="s">
        <v>129</v>
      </c>
      <c r="T13" s="469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69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69"/>
      <c r="AI13" s="166" t="s">
        <v>1091</v>
      </c>
      <c r="AJ13" s="341">
        <v>0</v>
      </c>
      <c r="AK13" s="218" t="s">
        <v>239</v>
      </c>
      <c r="AL13" s="469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69"/>
      <c r="AU13" s="192" t="s">
        <v>311</v>
      </c>
      <c r="AW13" s="218" t="s">
        <v>1148</v>
      </c>
      <c r="AX13" s="469"/>
      <c r="AY13" s="192"/>
      <c r="BA13" s="218" t="s">
        <v>1148</v>
      </c>
      <c r="BB13" s="469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69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9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9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9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9">
        <v>-620</v>
      </c>
      <c r="CY13" s="204"/>
      <c r="CZ13" s="204"/>
      <c r="DA13" s="271" t="s">
        <v>311</v>
      </c>
      <c r="DB13" s="204" t="s">
        <v>686</v>
      </c>
      <c r="DC13" s="499" t="s">
        <v>1148</v>
      </c>
      <c r="DD13" s="500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9">
        <v>-2174</v>
      </c>
      <c r="DK13" s="204" t="s">
        <v>578</v>
      </c>
      <c r="DM13" s="271" t="s">
        <v>1516</v>
      </c>
      <c r="DN13" s="261">
        <v>100</v>
      </c>
      <c r="DO13" s="485" t="s">
        <v>1058</v>
      </c>
      <c r="DP13" s="488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3" t="s">
        <v>1558</v>
      </c>
      <c r="DV13" s="504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0" t="s">
        <v>1809</v>
      </c>
      <c r="FM13" s="490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5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6">
        <f>2750.62/3</f>
        <v>916.87333333333333</v>
      </c>
      <c r="IR13" s="490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2764</v>
      </c>
      <c r="JG13" s="321">
        <v>22.41</v>
      </c>
      <c r="JH13" s="243" t="s">
        <v>2643</v>
      </c>
      <c r="JI13" s="502"/>
      <c r="JJ13" s="204" t="s">
        <v>1837</v>
      </c>
      <c r="JK13" s="259">
        <v>2600</v>
      </c>
      <c r="JL13" s="217" t="s">
        <v>2765</v>
      </c>
      <c r="JM13" s="396">
        <v>5.9</v>
      </c>
      <c r="JN13" s="243" t="s">
        <v>2897</v>
      </c>
      <c r="JO13" s="240">
        <f>JO14*4</f>
        <v>5080.7519999999995</v>
      </c>
      <c r="JP13" s="320" t="s">
        <v>2666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2667</v>
      </c>
      <c r="JW13" s="259">
        <v>597</v>
      </c>
      <c r="JX13" s="217" t="s">
        <v>2789</v>
      </c>
      <c r="JY13" s="396">
        <v>7.95</v>
      </c>
      <c r="JZ13" s="300" t="s">
        <v>2779</v>
      </c>
      <c r="KA13" s="202">
        <v>2062.8000000000002</v>
      </c>
      <c r="KB13" s="320" t="s">
        <v>2666</v>
      </c>
      <c r="KC13" s="259">
        <v>765</v>
      </c>
      <c r="KD13" s="341" t="s">
        <v>1798</v>
      </c>
      <c r="KE13" s="396">
        <v>13.54</v>
      </c>
      <c r="KF13" s="299" t="s">
        <v>2460</v>
      </c>
      <c r="KG13" s="202">
        <v>74.64</v>
      </c>
      <c r="KH13" s="204" t="s">
        <v>2845</v>
      </c>
      <c r="KI13" s="319">
        <v>366011</v>
      </c>
      <c r="KJ13" s="341" t="s">
        <v>2834</v>
      </c>
      <c r="KK13" s="396">
        <f>73.33+0.96</f>
        <v>74.289999999999992</v>
      </c>
      <c r="KL13" s="254" t="s">
        <v>2417</v>
      </c>
      <c r="KM13" s="341">
        <v>40.590000000000003</v>
      </c>
      <c r="KN13" s="285" t="s">
        <v>2992</v>
      </c>
      <c r="KO13" s="319">
        <v>-82000</v>
      </c>
      <c r="KP13" s="341" t="s">
        <v>2821</v>
      </c>
      <c r="KQ13" s="396"/>
      <c r="KR13" s="300" t="s">
        <v>3065</v>
      </c>
      <c r="KS13" s="341">
        <v>43.2</v>
      </c>
      <c r="KT13" s="285" t="s">
        <v>2992</v>
      </c>
      <c r="KU13" s="319">
        <v>-82000</v>
      </c>
      <c r="KV13" s="598" t="s">
        <v>3105</v>
      </c>
      <c r="KW13" s="396">
        <v>15</v>
      </c>
      <c r="KX13" s="300" t="s">
        <v>3136</v>
      </c>
      <c r="KY13" s="600">
        <v>91.22</v>
      </c>
      <c r="KZ13" s="599" t="s">
        <v>2433</v>
      </c>
      <c r="LA13" s="259">
        <v>1</v>
      </c>
      <c r="LB13" s="624" t="s">
        <v>1798</v>
      </c>
      <c r="LC13" s="396"/>
      <c r="LD13" s="300" t="s">
        <v>3172</v>
      </c>
      <c r="LE13" s="639">
        <v>734.4</v>
      </c>
      <c r="LF13" s="626" t="s">
        <v>2905</v>
      </c>
      <c r="LG13" s="259">
        <v>101429</v>
      </c>
      <c r="LH13" s="467">
        <v>45288</v>
      </c>
      <c r="LI13" s="259"/>
    </row>
    <row r="14" spans="1:321">
      <c r="A14" s="218" t="s">
        <v>1096</v>
      </c>
      <c r="B14" s="469">
        <v>-1047</v>
      </c>
      <c r="E14" s="170" t="s">
        <v>1002</v>
      </c>
      <c r="F14" s="170">
        <f>2500*5</f>
        <v>12500</v>
      </c>
      <c r="G14" s="218" t="s">
        <v>1096</v>
      </c>
      <c r="H14" s="469">
        <v>-1303</v>
      </c>
      <c r="K14" s="170" t="s">
        <v>1002</v>
      </c>
      <c r="L14" s="341">
        <v>0</v>
      </c>
      <c r="M14" s="218" t="s">
        <v>344</v>
      </c>
      <c r="N14" s="469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69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69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69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69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69">
        <v>-292</v>
      </c>
      <c r="AU14" s="192" t="s">
        <v>1157</v>
      </c>
      <c r="AV14" s="341">
        <v>200</v>
      </c>
      <c r="AW14" s="218" t="s">
        <v>1096</v>
      </c>
      <c r="AX14" s="469">
        <v>-1148</v>
      </c>
      <c r="AY14" s="192"/>
      <c r="BA14" s="218" t="s">
        <v>1096</v>
      </c>
      <c r="BB14" s="469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69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9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9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9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9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9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9">
        <v>0</v>
      </c>
      <c r="DK14" s="261"/>
      <c r="DL14" s="204"/>
      <c r="DM14" s="271" t="s">
        <v>1524</v>
      </c>
      <c r="DN14" s="261">
        <v>2700</v>
      </c>
      <c r="DO14" s="699" t="s">
        <v>1504</v>
      </c>
      <c r="DP14" s="70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79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0" t="s">
        <v>1824</v>
      </c>
      <c r="FS14" s="490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5" t="s">
        <v>2150</v>
      </c>
      <c r="HK14" s="69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6"/>
      <c r="HQ14" s="507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3081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2632</v>
      </c>
      <c r="JG14" s="321">
        <v>118.15</v>
      </c>
      <c r="JH14" s="243" t="s">
        <v>2678</v>
      </c>
      <c r="JI14" s="321">
        <v>1422.53</v>
      </c>
      <c r="JJ14" s="320" t="s">
        <v>1505</v>
      </c>
      <c r="JK14" s="259">
        <v>966</v>
      </c>
      <c r="JL14" s="217" t="s">
        <v>2766</v>
      </c>
      <c r="JM14" s="396"/>
      <c r="JN14" s="299" t="s">
        <v>2698</v>
      </c>
      <c r="JO14" s="240">
        <f>(3175.47/5)*2</f>
        <v>1270.1879999999999</v>
      </c>
      <c r="JP14" s="320" t="s">
        <v>2667</v>
      </c>
      <c r="JQ14" s="259">
        <v>895</v>
      </c>
      <c r="JR14" s="341" t="s">
        <v>2128</v>
      </c>
      <c r="JS14" s="396">
        <f>54.27+1.49</f>
        <v>55.760000000000005</v>
      </c>
      <c r="JT14" s="299" t="s">
        <v>2803</v>
      </c>
      <c r="JU14" s="240">
        <f>(3175.47/5)</f>
        <v>635.09399999999994</v>
      </c>
      <c r="JV14" s="320" t="s">
        <v>2668</v>
      </c>
      <c r="JW14" s="259">
        <v>561</v>
      </c>
      <c r="JX14" s="217" t="s">
        <v>2805</v>
      </c>
      <c r="JY14" s="396"/>
      <c r="JZ14" s="300" t="s">
        <v>2581</v>
      </c>
      <c r="KA14" s="341">
        <f>259.2+410.4</f>
        <v>669.59999999999991</v>
      </c>
      <c r="KB14" s="320" t="s">
        <v>2667</v>
      </c>
      <c r="KC14" s="335">
        <v>1438</v>
      </c>
      <c r="KD14" s="217" t="s">
        <v>2789</v>
      </c>
      <c r="KE14" s="396"/>
      <c r="KF14" s="299" t="s">
        <v>2524</v>
      </c>
      <c r="KG14" s="274">
        <v>131.87</v>
      </c>
      <c r="KH14" s="320" t="s">
        <v>2905</v>
      </c>
      <c r="KI14" s="259">
        <v>100032</v>
      </c>
      <c r="KJ14" s="217"/>
      <c r="KK14" s="396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3024</v>
      </c>
      <c r="KQ14" s="396">
        <f>205.48+73.97+65.75</f>
        <v>345.2</v>
      </c>
      <c r="KR14" s="254" t="s">
        <v>3042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6">
        <v>13.96</v>
      </c>
      <c r="KX14" s="254" t="s">
        <v>3127</v>
      </c>
      <c r="KY14" s="600">
        <f>221.76+48.93</f>
        <v>270.69</v>
      </c>
      <c r="KZ14" s="594" t="s">
        <v>3096</v>
      </c>
      <c r="LA14" s="259">
        <v>233004</v>
      </c>
      <c r="LB14" s="217" t="s">
        <v>2789</v>
      </c>
      <c r="LC14" s="396"/>
      <c r="LD14" s="300" t="s">
        <v>3173</v>
      </c>
      <c r="LE14" s="639">
        <f>3.06*0</f>
        <v>0</v>
      </c>
      <c r="LF14" s="628" t="s">
        <v>2877</v>
      </c>
      <c r="LG14" s="358"/>
    </row>
    <row r="15" spans="1:321">
      <c r="A15" s="218" t="s">
        <v>129</v>
      </c>
      <c r="B15" s="469">
        <v>0</v>
      </c>
      <c r="E15" s="170"/>
      <c r="F15" s="170"/>
      <c r="G15" s="218" t="s">
        <v>129</v>
      </c>
      <c r="H15" s="469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69">
        <v>56.76</v>
      </c>
      <c r="AG15" s="398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69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69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69">
        <v>46.47</v>
      </c>
      <c r="AY15" s="192"/>
      <c r="BA15" s="218" t="s">
        <v>1060</v>
      </c>
      <c r="BB15" s="469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69">
        <v>46.47</v>
      </c>
      <c r="BI15" s="217" t="s">
        <v>1112</v>
      </c>
      <c r="BJ15" s="204" t="s">
        <v>686</v>
      </c>
      <c r="BK15" s="254"/>
      <c r="BM15" s="218" t="s">
        <v>1060</v>
      </c>
      <c r="BN15" s="469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69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9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9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9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9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9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79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79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08">
        <v>3179.26</v>
      </c>
      <c r="HK15" s="507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6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6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0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2905</v>
      </c>
      <c r="JG15" s="341">
        <f>6.24+2.24</f>
        <v>8.48</v>
      </c>
      <c r="JH15" s="312" t="s">
        <v>2629</v>
      </c>
      <c r="JI15" s="321">
        <v>155000</v>
      </c>
      <c r="JJ15" s="320" t="s">
        <v>1506</v>
      </c>
      <c r="JK15" s="259">
        <v>1556</v>
      </c>
      <c r="JL15" s="341" t="s">
        <v>2906</v>
      </c>
      <c r="JM15" s="328">
        <v>1.96</v>
      </c>
      <c r="JN15" s="299" t="s">
        <v>2460</v>
      </c>
      <c r="JO15" s="202">
        <v>53.91</v>
      </c>
      <c r="JP15" s="320" t="s">
        <v>2668</v>
      </c>
      <c r="JQ15" s="259">
        <v>76</v>
      </c>
      <c r="JR15" s="341" t="s">
        <v>2706</v>
      </c>
      <c r="JS15" s="396">
        <v>200</v>
      </c>
      <c r="JT15" s="299" t="s">
        <v>2460</v>
      </c>
      <c r="JU15" s="202">
        <v>75.430000000000007</v>
      </c>
      <c r="JV15" s="320" t="s">
        <v>2927</v>
      </c>
      <c r="JW15" s="259">
        <v>2151</v>
      </c>
      <c r="JX15" s="217"/>
      <c r="JY15" s="396"/>
      <c r="JZ15" s="300" t="s">
        <v>2780</v>
      </c>
      <c r="KA15" s="341">
        <v>10</v>
      </c>
      <c r="KB15" s="320" t="s">
        <v>2905</v>
      </c>
      <c r="KC15" s="259">
        <v>100491</v>
      </c>
      <c r="KD15" s="718" t="s">
        <v>2835</v>
      </c>
      <c r="KE15" s="718"/>
      <c r="KF15" s="299" t="s">
        <v>1195</v>
      </c>
      <c r="KG15" s="202">
        <f>10+6.5+15</f>
        <v>31.5</v>
      </c>
      <c r="KH15" s="326" t="s">
        <v>2877</v>
      </c>
      <c r="KI15" s="358"/>
      <c r="KJ15" s="341" t="s">
        <v>2821</v>
      </c>
      <c r="KK15" s="396"/>
      <c r="KL15" s="243" t="s">
        <v>2939</v>
      </c>
      <c r="KM15" s="321">
        <v>50065.8</v>
      </c>
      <c r="KN15" s="204" t="s">
        <v>2845</v>
      </c>
      <c r="KO15" s="319">
        <v>199006</v>
      </c>
      <c r="KP15" s="217" t="s">
        <v>3007</v>
      </c>
      <c r="KQ15" s="396">
        <f>1.52</f>
        <v>1.52</v>
      </c>
      <c r="KR15" s="254" t="s">
        <v>2417</v>
      </c>
      <c r="KS15" s="204">
        <v>194.04</v>
      </c>
      <c r="KT15" s="320" t="s">
        <v>3005</v>
      </c>
      <c r="KU15" s="259">
        <v>0</v>
      </c>
      <c r="KV15" s="217" t="s">
        <v>2789</v>
      </c>
      <c r="KW15" s="396"/>
      <c r="KX15" s="254" t="s">
        <v>3155</v>
      </c>
      <c r="KY15" s="613">
        <v>49.7</v>
      </c>
      <c r="KZ15" s="320" t="s">
        <v>2905</v>
      </c>
      <c r="LA15" s="259">
        <v>101577</v>
      </c>
      <c r="LB15" s="619" t="s">
        <v>2835</v>
      </c>
      <c r="LC15" s="619"/>
      <c r="LD15" s="300" t="s">
        <v>3135</v>
      </c>
      <c r="LE15" s="639">
        <v>14.9</v>
      </c>
      <c r="LF15" s="621" t="s">
        <v>2994</v>
      </c>
      <c r="LG15" s="319">
        <v>-1074</v>
      </c>
      <c r="LH15" s="467">
        <v>45285</v>
      </c>
      <c r="LI15" s="319"/>
    </row>
    <row r="16" spans="1:321">
      <c r="A16" s="218" t="s">
        <v>344</v>
      </c>
      <c r="B16" s="469">
        <v>0</v>
      </c>
      <c r="E16" s="166" t="s">
        <v>471</v>
      </c>
      <c r="F16" s="166"/>
      <c r="G16" s="218" t="s">
        <v>344</v>
      </c>
      <c r="H16" s="469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69">
        <v>115.37</v>
      </c>
      <c r="AI16" s="242" t="s">
        <v>1019</v>
      </c>
      <c r="AJ16" s="204">
        <v>0</v>
      </c>
      <c r="AK16" s="218" t="s">
        <v>1077</v>
      </c>
      <c r="AL16" s="469">
        <v>115.001</v>
      </c>
      <c r="AO16" s="192" t="s">
        <v>1175</v>
      </c>
      <c r="AP16" s="204">
        <v>100</v>
      </c>
      <c r="AQ16" s="218" t="s">
        <v>1137</v>
      </c>
      <c r="AR16" s="469">
        <v>19</v>
      </c>
      <c r="AS16" s="398"/>
      <c r="AU16" s="192" t="s">
        <v>1159</v>
      </c>
      <c r="AV16" s="341">
        <v>100</v>
      </c>
      <c r="AW16" s="218" t="s">
        <v>1137</v>
      </c>
      <c r="AX16" s="469">
        <v>19.001000000000001</v>
      </c>
      <c r="AY16" s="192"/>
      <c r="BA16" s="218" t="s">
        <v>1137</v>
      </c>
      <c r="BB16" s="469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69">
        <v>17.37</v>
      </c>
      <c r="BK16" s="255" t="s">
        <v>1965</v>
      </c>
      <c r="BL16" s="204">
        <v>459</v>
      </c>
      <c r="BM16" s="218" t="s">
        <v>1204</v>
      </c>
      <c r="BN16" s="469">
        <v>17.37</v>
      </c>
      <c r="BQ16" s="255" t="s">
        <v>471</v>
      </c>
      <c r="BR16" s="204" t="s">
        <v>686</v>
      </c>
      <c r="BS16" s="218" t="s">
        <v>1204</v>
      </c>
      <c r="BT16" s="469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9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5" t="s">
        <v>1058</v>
      </c>
      <c r="CX16" s="488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9">
        <v>14.37</v>
      </c>
      <c r="DE16" s="204" t="s">
        <v>578</v>
      </c>
      <c r="DG16" s="271" t="s">
        <v>1454</v>
      </c>
      <c r="DH16" s="261">
        <v>100</v>
      </c>
      <c r="DI16" s="485" t="s">
        <v>1058</v>
      </c>
      <c r="DJ16" s="488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9">
        <f>10000+10000</f>
        <v>20000</v>
      </c>
      <c r="DS16" s="271" t="s">
        <v>1002</v>
      </c>
      <c r="DT16" s="274">
        <v>1800.04</v>
      </c>
      <c r="DU16" s="218" t="s">
        <v>1569</v>
      </c>
      <c r="DV16" s="479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79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6">
        <f>HG20*5</f>
        <v>2104.9333333333334</v>
      </c>
      <c r="HH16" s="285" t="s">
        <v>1625</v>
      </c>
      <c r="HI16" s="341">
        <v>90</v>
      </c>
      <c r="HJ16" s="509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6"/>
      <c r="HQ16" s="507"/>
      <c r="HR16" s="299" t="s">
        <v>1815</v>
      </c>
      <c r="HS16" s="341">
        <v>113.11</v>
      </c>
      <c r="HT16" s="320" t="s">
        <v>1507</v>
      </c>
      <c r="HU16" s="341">
        <v>0</v>
      </c>
      <c r="HV16" s="506" t="s">
        <v>2236</v>
      </c>
      <c r="HW16" s="328">
        <f>18.8+37.6</f>
        <v>56.400000000000006</v>
      </c>
      <c r="HX16" s="299" t="s">
        <v>2039</v>
      </c>
      <c r="HY16" s="446">
        <f>2525.92/6</f>
        <v>420.98666666666668</v>
      </c>
      <c r="HZ16" s="320" t="s">
        <v>1877</v>
      </c>
      <c r="IA16" s="341">
        <v>606</v>
      </c>
      <c r="IB16" s="510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6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2659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6" t="s">
        <v>2615</v>
      </c>
      <c r="JG16" s="328">
        <v>379.39</v>
      </c>
      <c r="JH16" s="299" t="s">
        <v>2637</v>
      </c>
      <c r="JI16" s="202" t="s">
        <v>657</v>
      </c>
      <c r="JJ16" s="320" t="s">
        <v>2587</v>
      </c>
      <c r="JK16" s="259">
        <v>4000</v>
      </c>
      <c r="JL16" s="341" t="s">
        <v>2914</v>
      </c>
      <c r="JM16" s="202">
        <f>25.72</f>
        <v>25.72</v>
      </c>
      <c r="JN16" s="299" t="s">
        <v>2599</v>
      </c>
      <c r="JO16" s="202">
        <v>23.96</v>
      </c>
      <c r="JP16" s="320" t="s">
        <v>2927</v>
      </c>
      <c r="JQ16" s="358">
        <v>2441</v>
      </c>
      <c r="JR16" s="341" t="s">
        <v>2726</v>
      </c>
      <c r="JS16" s="396">
        <v>300</v>
      </c>
      <c r="JT16" s="299" t="s">
        <v>2599</v>
      </c>
      <c r="JU16" s="202">
        <v>129.6</v>
      </c>
      <c r="JV16" s="490" t="s">
        <v>2669</v>
      </c>
      <c r="JW16" s="358"/>
      <c r="JX16" s="341" t="s">
        <v>2821</v>
      </c>
      <c r="JY16" s="396"/>
      <c r="JZ16" s="300" t="s">
        <v>2790</v>
      </c>
      <c r="KA16" s="341">
        <f>6.8+7.8</f>
        <v>14.6</v>
      </c>
      <c r="KB16" s="490" t="s">
        <v>2786</v>
      </c>
      <c r="KC16" s="358"/>
      <c r="KD16" s="498"/>
      <c r="KE16" s="498"/>
      <c r="KF16" s="299" t="s">
        <v>2674</v>
      </c>
      <c r="KG16" s="202">
        <f>14.32+18</f>
        <v>32.32</v>
      </c>
      <c r="KH16" s="285" t="s">
        <v>2876</v>
      </c>
      <c r="KI16" s="342">
        <v>30</v>
      </c>
      <c r="KJ16" s="217" t="s">
        <v>2973</v>
      </c>
      <c r="KK16" s="396">
        <f>7.87+11.3</f>
        <v>19.170000000000002</v>
      </c>
      <c r="KL16" s="243" t="s">
        <v>2894</v>
      </c>
      <c r="KM16" s="321">
        <f>KM19*9</f>
        <v>1272.2760000000001</v>
      </c>
      <c r="KN16" s="320" t="s">
        <v>2905</v>
      </c>
      <c r="KO16" s="259">
        <v>100842</v>
      </c>
      <c r="KP16" s="204" t="s">
        <v>3029</v>
      </c>
      <c r="KQ16" s="341">
        <f>30000*(1-0.9807)</f>
        <v>578.99999999999955</v>
      </c>
      <c r="KR16" s="254" t="s">
        <v>3062</v>
      </c>
      <c r="KS16" s="204">
        <f>111.95+16.63</f>
        <v>128.58000000000001</v>
      </c>
      <c r="KT16" s="320" t="s">
        <v>2905</v>
      </c>
      <c r="KU16" s="259">
        <v>101064</v>
      </c>
      <c r="KV16" s="498" t="s">
        <v>2835</v>
      </c>
      <c r="KW16" s="498"/>
      <c r="KX16" s="254" t="s">
        <v>3128</v>
      </c>
      <c r="KY16" s="613">
        <f>82.2+45.07</f>
        <v>127.27000000000001</v>
      </c>
      <c r="KZ16" s="326" t="s">
        <v>2877</v>
      </c>
      <c r="LA16" s="358"/>
      <c r="LB16" s="217"/>
      <c r="LC16" s="396"/>
      <c r="LD16" s="300" t="s">
        <v>3192</v>
      </c>
      <c r="LE16" s="639">
        <v>69.900000000000006</v>
      </c>
      <c r="LF16" s="628" t="s">
        <v>3086</v>
      </c>
      <c r="LG16" s="471">
        <v>10</v>
      </c>
      <c r="LH16" s="467">
        <v>45287</v>
      </c>
      <c r="LI16" s="31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9"/>
      <c r="S17" s="218" t="s">
        <v>995</v>
      </c>
      <c r="T17" s="469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69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69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9"/>
      <c r="CA17" s="217" t="s">
        <v>1061</v>
      </c>
      <c r="CB17" s="204" t="s">
        <v>686</v>
      </c>
      <c r="CC17" s="255"/>
      <c r="CD17" s="204"/>
      <c r="CE17" s="218" t="s">
        <v>1168</v>
      </c>
      <c r="CF17" s="469"/>
      <c r="CI17" s="255" t="s">
        <v>471</v>
      </c>
      <c r="CJ17" s="204"/>
      <c r="CK17" s="218" t="s">
        <v>1078</v>
      </c>
      <c r="CL17" s="469">
        <v>5920</v>
      </c>
      <c r="CO17" s="255"/>
      <c r="CP17" s="204"/>
      <c r="CQ17" s="218" t="s">
        <v>1168</v>
      </c>
      <c r="CR17" s="469"/>
      <c r="CU17" s="256" t="s">
        <v>1350</v>
      </c>
      <c r="CV17" s="217">
        <v>615.20000000000005</v>
      </c>
      <c r="CW17" s="218" t="s">
        <v>1168</v>
      </c>
      <c r="CX17" s="469"/>
      <c r="CY17" s="261" t="s">
        <v>1399</v>
      </c>
      <c r="CZ17" s="217">
        <v>14</v>
      </c>
      <c r="DA17" s="267" t="s">
        <v>1377</v>
      </c>
      <c r="DB17" s="217">
        <v>1316.1</v>
      </c>
      <c r="DC17" s="485" t="s">
        <v>1058</v>
      </c>
      <c r="DD17" s="488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9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9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79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0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0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0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0" t="s">
        <v>2020</v>
      </c>
      <c r="HJ17" s="508">
        <v>258.44</v>
      </c>
      <c r="HK17" s="507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6"/>
      <c r="HQ17" s="507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6">
        <v>177.48</v>
      </c>
      <c r="HZ17" s="320" t="s">
        <v>1873</v>
      </c>
      <c r="IA17" s="341">
        <v>311</v>
      </c>
      <c r="IB17" s="511" t="s">
        <v>2269</v>
      </c>
      <c r="IC17" s="324">
        <v>835.6</v>
      </c>
      <c r="ID17" s="243" t="s">
        <v>2313</v>
      </c>
      <c r="IE17" s="446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6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2905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6" t="s">
        <v>2616</v>
      </c>
      <c r="JG17" s="341">
        <v>442.61</v>
      </c>
      <c r="JH17" s="299" t="s">
        <v>2583</v>
      </c>
      <c r="JI17" s="202">
        <v>59.36</v>
      </c>
      <c r="JJ17" s="320" t="s">
        <v>2613</v>
      </c>
      <c r="JK17" s="259">
        <f>25000.29+90000.29+140000.29+10000</f>
        <v>265000.87</v>
      </c>
      <c r="JL17" s="341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90" t="s">
        <v>2669</v>
      </c>
      <c r="JQ17" s="358"/>
      <c r="JR17" s="341" t="s">
        <v>2906</v>
      </c>
      <c r="JS17" s="396">
        <v>2.95</v>
      </c>
      <c r="JT17" s="299" t="s">
        <v>2740</v>
      </c>
      <c r="JU17" s="274">
        <v>131.6</v>
      </c>
      <c r="JV17" s="320" t="s">
        <v>2670</v>
      </c>
      <c r="JW17" s="259">
        <v>0</v>
      </c>
      <c r="JX17" s="217" t="s">
        <v>2778</v>
      </c>
      <c r="JY17" s="396">
        <f>1.29+1.15</f>
        <v>2.44</v>
      </c>
      <c r="JZ17" s="300" t="s">
        <v>2782</v>
      </c>
      <c r="KA17" s="341">
        <f>73.44/2</f>
        <v>36.72</v>
      </c>
      <c r="KB17" s="320" t="s">
        <v>2670</v>
      </c>
      <c r="KC17" s="259">
        <v>0</v>
      </c>
      <c r="KD17" s="341" t="s">
        <v>2821</v>
      </c>
      <c r="KE17" s="396"/>
      <c r="KF17" s="299" t="s">
        <v>2929</v>
      </c>
      <c r="KG17" s="202">
        <v>180</v>
      </c>
      <c r="KH17" s="204" t="s">
        <v>2878</v>
      </c>
      <c r="KI17" s="471">
        <f>686-1000</f>
        <v>-314</v>
      </c>
      <c r="KJ17" s="217" t="s">
        <v>2433</v>
      </c>
      <c r="KK17" s="396">
        <v>7.97</v>
      </c>
      <c r="KL17" s="329" t="s">
        <v>2965</v>
      </c>
      <c r="KM17" s="321">
        <f>1388.33-KM18</f>
        <v>1240.58</v>
      </c>
      <c r="KN17" s="320" t="s">
        <v>2990</v>
      </c>
      <c r="KO17" s="259">
        <v>129000</v>
      </c>
      <c r="KP17" s="204" t="s">
        <v>3045</v>
      </c>
      <c r="KQ17" s="341">
        <f>20000*(1-0.9803)</f>
        <v>394.00000000000102</v>
      </c>
      <c r="KR17" s="243" t="s">
        <v>3001</v>
      </c>
      <c r="KS17" s="321">
        <f>1363.36-KS18</f>
        <v>1223.29</v>
      </c>
      <c r="KT17" s="320" t="s">
        <v>2990</v>
      </c>
      <c r="KU17" s="259">
        <v>199369</v>
      </c>
      <c r="KV17" s="217"/>
      <c r="KW17" s="396"/>
      <c r="KX17" s="254" t="s">
        <v>3144</v>
      </c>
      <c r="KY17" s="617">
        <v>52.42</v>
      </c>
      <c r="KZ17" s="285" t="s">
        <v>2994</v>
      </c>
      <c r="LA17" s="319">
        <v>-143</v>
      </c>
      <c r="LB17" s="624" t="s">
        <v>2821</v>
      </c>
      <c r="LC17" s="396"/>
      <c r="LD17" s="300" t="s">
        <v>3103</v>
      </c>
      <c r="LE17" s="625">
        <f>5+1.69</f>
        <v>6.6899999999999995</v>
      </c>
      <c r="LF17" s="625" t="s">
        <v>3057</v>
      </c>
      <c r="LG17" s="259">
        <f>LF18-0.99*195000</f>
        <v>-648</v>
      </c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69">
        <v>1218</v>
      </c>
      <c r="Q18" s="170"/>
      <c r="S18" s="218" t="s">
        <v>996</v>
      </c>
      <c r="T18" s="469">
        <v>1142</v>
      </c>
      <c r="W18" s="166" t="s">
        <v>369</v>
      </c>
      <c r="Y18" s="218" t="s">
        <v>1078</v>
      </c>
      <c r="Z18" s="469">
        <v>100.54</v>
      </c>
      <c r="AC18" s="143" t="s">
        <v>1080</v>
      </c>
      <c r="AD18" s="341">
        <v>104</v>
      </c>
      <c r="AE18" s="218" t="s">
        <v>995</v>
      </c>
      <c r="AF18" s="469"/>
      <c r="AI18" s="143" t="s">
        <v>1052</v>
      </c>
      <c r="AJ18" s="204">
        <v>0</v>
      </c>
      <c r="AK18" s="218" t="s">
        <v>995</v>
      </c>
      <c r="AL18" s="469"/>
      <c r="AM18" s="341" t="s">
        <v>1061</v>
      </c>
      <c r="AO18" s="166" t="s">
        <v>1139</v>
      </c>
      <c r="AP18" s="204">
        <v>378.81</v>
      </c>
      <c r="AQ18" s="218" t="s">
        <v>995</v>
      </c>
      <c r="AR18" s="469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69"/>
      <c r="AY18" s="166"/>
      <c r="AZ18" s="204"/>
      <c r="BA18" s="218" t="s">
        <v>1168</v>
      </c>
      <c r="BB18" s="469">
        <f t="shared" si="0"/>
        <v>0</v>
      </c>
      <c r="BE18" s="242" t="s">
        <v>1126</v>
      </c>
      <c r="BF18" s="204" t="s">
        <v>686</v>
      </c>
      <c r="BG18" s="218" t="s">
        <v>1168</v>
      </c>
      <c r="BH18" s="469"/>
      <c r="BJ18" s="204"/>
      <c r="BK18" s="256" t="s">
        <v>1126</v>
      </c>
      <c r="BL18" s="204">
        <f>172+215</f>
        <v>387</v>
      </c>
      <c r="BM18" s="218" t="s">
        <v>1168</v>
      </c>
      <c r="BN18" s="469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69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9">
        <v>1014</v>
      </c>
      <c r="CG18" s="261"/>
      <c r="CI18" s="255"/>
      <c r="CJ18" s="204"/>
      <c r="CK18" s="218" t="s">
        <v>996</v>
      </c>
      <c r="CL18" s="469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9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9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9"/>
      <c r="DE18" s="261" t="s">
        <v>1445</v>
      </c>
      <c r="DF18" s="204">
        <v>57.6</v>
      </c>
      <c r="DG18" s="271" t="s">
        <v>1414</v>
      </c>
      <c r="DH18" s="261">
        <v>2000</v>
      </c>
      <c r="DI18" s="699" t="s">
        <v>1474</v>
      </c>
      <c r="DJ18" s="700"/>
      <c r="DK18" s="261"/>
      <c r="DM18" s="271" t="s">
        <v>1325</v>
      </c>
      <c r="DN18" s="261"/>
      <c r="DO18" s="218" t="s">
        <v>1498</v>
      </c>
      <c r="DP18" s="479">
        <v>10000</v>
      </c>
      <c r="DQ18" s="261"/>
      <c r="DS18" s="270" t="s">
        <v>1570</v>
      </c>
      <c r="DT18" s="274">
        <v>382</v>
      </c>
      <c r="DU18" s="218" t="s">
        <v>1499</v>
      </c>
      <c r="DV18" s="479">
        <v>40000</v>
      </c>
      <c r="DY18" s="242" t="s">
        <v>1286</v>
      </c>
      <c r="DZ18" s="341">
        <v>140.94999999999999</v>
      </c>
      <c r="EA18" s="218" t="s">
        <v>1567</v>
      </c>
      <c r="EB18" s="479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0">
        <v>748</v>
      </c>
      <c r="GB18" s="300" t="s">
        <v>1862</v>
      </c>
      <c r="GD18" s="285" t="s">
        <v>1897</v>
      </c>
      <c r="GE18" s="490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1" t="s">
        <v>1969</v>
      </c>
      <c r="GK18" s="341">
        <v>1200</v>
      </c>
      <c r="GM18" s="240"/>
      <c r="GN18" s="300" t="s">
        <v>2012</v>
      </c>
      <c r="GO18" s="341">
        <v>54.38</v>
      </c>
      <c r="GP18" s="490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1" t="s">
        <v>1969</v>
      </c>
      <c r="GW18" s="341">
        <v>1001</v>
      </c>
      <c r="GX18" s="197"/>
      <c r="GZ18" s="299" t="s">
        <v>2039</v>
      </c>
      <c r="HA18" s="446">
        <f>2525.92/6</f>
        <v>420.98666666666668</v>
      </c>
      <c r="HB18" s="490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1" t="s">
        <v>1969</v>
      </c>
      <c r="HI18" s="341">
        <v>2041</v>
      </c>
      <c r="HJ18" s="508">
        <v>23.05</v>
      </c>
      <c r="HK18" s="507" t="s">
        <v>2103</v>
      </c>
      <c r="HL18" s="299" t="s">
        <v>1955</v>
      </c>
      <c r="HM18" s="512">
        <f>15.88+15.81+18.55+16.76+17.32+18.76</f>
        <v>103.08</v>
      </c>
      <c r="HN18" s="285" t="s">
        <v>1625</v>
      </c>
      <c r="HO18" s="341">
        <v>150</v>
      </c>
      <c r="HP18" s="513"/>
      <c r="HQ18" s="514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6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5" t="s">
        <v>2266</v>
      </c>
      <c r="IC18" s="324">
        <f>20.89*3</f>
        <v>62.67</v>
      </c>
      <c r="ID18" s="299" t="s">
        <v>2039</v>
      </c>
      <c r="IE18" s="446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0" t="s">
        <v>2356</v>
      </c>
      <c r="IM18" s="259">
        <f>100*(120+1000+330+310)</f>
        <v>176000</v>
      </c>
      <c r="IN18" s="341" t="s">
        <v>2905</v>
      </c>
      <c r="IO18" s="341">
        <v>3</v>
      </c>
      <c r="IP18" s="299" t="s">
        <v>2400</v>
      </c>
      <c r="IQ18" s="202">
        <v>42.65</v>
      </c>
      <c r="IR18" s="320" t="s">
        <v>2905</v>
      </c>
      <c r="IS18" s="259">
        <v>1143</v>
      </c>
      <c r="IT18" s="341" t="s">
        <v>2659</v>
      </c>
      <c r="IU18" s="321">
        <v>14</v>
      </c>
      <c r="IV18" s="299" t="s">
        <v>2526</v>
      </c>
      <c r="IW18" s="274">
        <v>110.02</v>
      </c>
      <c r="IX18" s="320" t="s">
        <v>2934</v>
      </c>
      <c r="IY18" s="358">
        <v>4175</v>
      </c>
      <c r="IZ18" s="506"/>
      <c r="JA18" s="328"/>
      <c r="JB18" s="299" t="s">
        <v>2519</v>
      </c>
      <c r="JC18" s="202">
        <v>110.79</v>
      </c>
      <c r="JD18" s="320" t="s">
        <v>2913</v>
      </c>
      <c r="JE18" s="358">
        <v>3083</v>
      </c>
      <c r="JF18" s="506"/>
      <c r="JG18" s="328"/>
      <c r="JH18" s="299" t="s">
        <v>2908</v>
      </c>
      <c r="JI18" s="202">
        <v>30</v>
      </c>
      <c r="JJ18" s="320" t="s">
        <v>2913</v>
      </c>
      <c r="JK18" s="259">
        <v>99936</v>
      </c>
      <c r="JL18" s="506" t="s">
        <v>2690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2670</v>
      </c>
      <c r="JQ18" s="259">
        <v>0</v>
      </c>
      <c r="JR18" s="516" t="s">
        <v>2914</v>
      </c>
      <c r="JS18" s="517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2763</v>
      </c>
      <c r="JY18" s="396">
        <f>65.16+2.55</f>
        <v>67.709999999999994</v>
      </c>
      <c r="JZ18" s="300" t="s">
        <v>2825</v>
      </c>
      <c r="KA18" s="202">
        <v>5.01</v>
      </c>
      <c r="KB18" s="320" t="s">
        <v>2582</v>
      </c>
      <c r="KC18" s="259">
        <v>14</v>
      </c>
      <c r="KD18" s="217" t="s">
        <v>2763</v>
      </c>
      <c r="KE18" s="396">
        <v>92.26</v>
      </c>
      <c r="KF18" s="299" t="s">
        <v>2724</v>
      </c>
      <c r="KG18" s="202">
        <v>10.8</v>
      </c>
      <c r="KH18" s="204" t="s">
        <v>2888</v>
      </c>
      <c r="KI18" s="471"/>
      <c r="KJ18" s="217" t="s">
        <v>2940</v>
      </c>
      <c r="KK18" s="396">
        <v>12.01</v>
      </c>
      <c r="KL18" s="449" t="s">
        <v>2971</v>
      </c>
      <c r="KM18" s="327">
        <v>147.75</v>
      </c>
      <c r="KN18" s="326" t="s">
        <v>2877</v>
      </c>
      <c r="KO18" s="358"/>
      <c r="KP18" s="217" t="s">
        <v>3026</v>
      </c>
      <c r="KQ18" s="328">
        <v>939.02</v>
      </c>
      <c r="KR18" s="143" t="s">
        <v>3002</v>
      </c>
      <c r="KS18" s="327">
        <v>140.07</v>
      </c>
      <c r="KT18" s="326" t="s">
        <v>2877</v>
      </c>
      <c r="KU18" s="358"/>
      <c r="KV18" s="341" t="s">
        <v>2821</v>
      </c>
      <c r="KW18" s="396"/>
      <c r="KX18" s="254" t="s">
        <v>3154</v>
      </c>
      <c r="KY18" s="613">
        <v>32</v>
      </c>
      <c r="KZ18" s="556" t="s">
        <v>3086</v>
      </c>
      <c r="LA18" s="471">
        <v>-78.540000000000006</v>
      </c>
      <c r="LB18" s="621" t="s">
        <v>3078</v>
      </c>
      <c r="LC18" s="396">
        <f>205.48+73.97+65.75+0.51</f>
        <v>345.71</v>
      </c>
      <c r="LD18" s="254" t="s">
        <v>3170</v>
      </c>
      <c r="LE18" s="638">
        <v>51.99</v>
      </c>
      <c r="LF18" s="445">
        <v>192402</v>
      </c>
      <c r="LG18" s="627"/>
      <c r="LH18" s="467">
        <v>45286</v>
      </c>
    </row>
    <row r="19" spans="1:321">
      <c r="A19" s="218" t="s">
        <v>995</v>
      </c>
      <c r="B19" s="469"/>
      <c r="E19" s="166" t="s">
        <v>369</v>
      </c>
      <c r="F19" s="166"/>
      <c r="G19" s="218" t="s">
        <v>995</v>
      </c>
      <c r="H19" s="469"/>
      <c r="K19" s="166" t="s">
        <v>369</v>
      </c>
      <c r="M19" s="218" t="s">
        <v>997</v>
      </c>
      <c r="N19" s="469">
        <v>550</v>
      </c>
      <c r="Q19" s="166" t="s">
        <v>1022</v>
      </c>
      <c r="S19" s="218" t="s">
        <v>1045</v>
      </c>
      <c r="T19" s="469">
        <v>550</v>
      </c>
      <c r="W19" s="166" t="s">
        <v>1056</v>
      </c>
      <c r="Y19" s="218" t="s">
        <v>996</v>
      </c>
      <c r="Z19" s="469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69">
        <v>10001</v>
      </c>
      <c r="AI19" s="143" t="s">
        <v>1100</v>
      </c>
      <c r="AJ19" s="204">
        <v>56</v>
      </c>
      <c r="AK19" s="218" t="s">
        <v>1078</v>
      </c>
      <c r="AL19" s="469" t="s">
        <v>1079</v>
      </c>
      <c r="AM19" s="398"/>
      <c r="AO19" s="166" t="s">
        <v>1140</v>
      </c>
      <c r="AP19" s="204">
        <v>146</v>
      </c>
      <c r="AQ19" s="218" t="s">
        <v>1078</v>
      </c>
      <c r="AR19" s="469">
        <f>AN21</f>
        <v>2200</v>
      </c>
      <c r="AU19" s="166" t="s">
        <v>1152</v>
      </c>
      <c r="AV19" s="204">
        <v>42.53</v>
      </c>
      <c r="AW19" s="218" t="s">
        <v>1078</v>
      </c>
      <c r="AX19" s="469">
        <f>10000+2200</f>
        <v>12200</v>
      </c>
      <c r="AY19" s="166"/>
      <c r="AZ19" s="204"/>
      <c r="BA19" s="218" t="s">
        <v>1078</v>
      </c>
      <c r="BB19" s="469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69">
        <v>10000</v>
      </c>
      <c r="BK19" s="256" t="s">
        <v>1154</v>
      </c>
      <c r="BL19" s="217" t="s">
        <v>686</v>
      </c>
      <c r="BM19" s="218" t="s">
        <v>1078</v>
      </c>
      <c r="BN19" s="469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69">
        <v>7142</v>
      </c>
      <c r="CA19" s="204"/>
      <c r="CC19" s="256" t="s">
        <v>1154</v>
      </c>
      <c r="CD19" s="217" t="s">
        <v>1304</v>
      </c>
      <c r="CE19" s="218" t="s">
        <v>996</v>
      </c>
      <c r="CF19" s="469">
        <v>11142</v>
      </c>
      <c r="CG19" s="261"/>
      <c r="CI19" s="256" t="s">
        <v>1301</v>
      </c>
      <c r="CJ19" s="204">
        <v>172</v>
      </c>
      <c r="CK19" s="218" t="s">
        <v>1045</v>
      </c>
      <c r="CL19" s="469">
        <v>527.62</v>
      </c>
      <c r="CM19" s="261"/>
      <c r="CO19" s="256" t="s">
        <v>1027</v>
      </c>
      <c r="CP19" s="263" t="s">
        <v>686</v>
      </c>
      <c r="CQ19" s="218" t="s">
        <v>996</v>
      </c>
      <c r="CR19" s="469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9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9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79">
        <v>10000</v>
      </c>
      <c r="DS19" s="256" t="s">
        <v>1337</v>
      </c>
      <c r="DT19" s="261" t="s">
        <v>1564</v>
      </c>
      <c r="DU19" s="218" t="s">
        <v>1567</v>
      </c>
      <c r="DV19" s="479">
        <v>10000</v>
      </c>
      <c r="DY19" s="242" t="s">
        <v>1607</v>
      </c>
      <c r="DZ19" s="341">
        <v>11</v>
      </c>
      <c r="EA19" s="218" t="s">
        <v>1497</v>
      </c>
      <c r="EB19" s="479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0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0">
        <v>33</v>
      </c>
      <c r="GH19" s="299" t="s">
        <v>1919</v>
      </c>
      <c r="GI19" s="341">
        <v>73.959999999999994</v>
      </c>
      <c r="GJ19" s="490" t="s">
        <v>1972</v>
      </c>
      <c r="GL19" s="197" t="s">
        <v>1971</v>
      </c>
      <c r="GN19" s="300" t="s">
        <v>1986</v>
      </c>
      <c r="GO19" s="341">
        <v>1867</v>
      </c>
      <c r="GP19" s="481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0">
        <v>745</v>
      </c>
      <c r="GZ19" s="299" t="s">
        <v>2070</v>
      </c>
      <c r="HA19" s="341">
        <v>77.3</v>
      </c>
      <c r="HB19" s="481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0" t="s">
        <v>2094</v>
      </c>
      <c r="HJ19" s="518">
        <v>1580.64</v>
      </c>
      <c r="HK19" s="514" t="s">
        <v>2116</v>
      </c>
      <c r="HL19" s="297" t="s">
        <v>2157</v>
      </c>
      <c r="HM19" s="341">
        <v>20</v>
      </c>
      <c r="HN19" s="490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6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1" t="s">
        <v>2267</v>
      </c>
      <c r="IC19" s="324">
        <v>146.22999999999999</v>
      </c>
      <c r="ID19" s="299" t="s">
        <v>1919</v>
      </c>
      <c r="IE19" s="446">
        <v>16.18</v>
      </c>
      <c r="IF19" s="320" t="s">
        <v>2912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2659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3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2687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2915</v>
      </c>
      <c r="JS19" s="519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6">
        <v>24.55</v>
      </c>
      <c r="JZ19" s="300" t="s">
        <v>2826</v>
      </c>
      <c r="KA19" s="341">
        <v>10.87</v>
      </c>
      <c r="KB19" s="285" t="s">
        <v>2579</v>
      </c>
      <c r="KC19" s="259">
        <v>220</v>
      </c>
      <c r="KD19" s="217" t="s">
        <v>2824</v>
      </c>
      <c r="KE19" s="396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2915</v>
      </c>
      <c r="KK19" s="396">
        <f>135.77+48.88+27.16</f>
        <v>211.81</v>
      </c>
      <c r="KL19" s="143" t="s">
        <v>2966</v>
      </c>
      <c r="KM19" s="327">
        <f>1413.64/10</f>
        <v>141.364</v>
      </c>
      <c r="KN19" s="285" t="s">
        <v>2993</v>
      </c>
      <c r="KO19" s="342">
        <v>-114.8</v>
      </c>
      <c r="KP19" s="217" t="s">
        <v>3008</v>
      </c>
      <c r="KQ19" s="328">
        <v>14.02</v>
      </c>
      <c r="KR19" s="143" t="s">
        <v>3040</v>
      </c>
      <c r="KS19" s="286">
        <v>170.22</v>
      </c>
      <c r="KT19" s="285" t="s">
        <v>2994</v>
      </c>
      <c r="KU19" s="319">
        <v>-479</v>
      </c>
      <c r="KV19" s="285" t="s">
        <v>3078</v>
      </c>
      <c r="KW19" s="396">
        <f>212.33+76.44+67.94</f>
        <v>356.71</v>
      </c>
      <c r="KX19" s="254" t="s">
        <v>3145</v>
      </c>
      <c r="KY19" s="617">
        <f>466.26+15.92</f>
        <v>482.18</v>
      </c>
      <c r="KZ19" s="204" t="s">
        <v>3057</v>
      </c>
      <c r="LA19" s="259">
        <f>KZ20-0.99*195000</f>
        <v>-1722</v>
      </c>
      <c r="LB19" s="217" t="s">
        <v>3007</v>
      </c>
      <c r="LC19" s="396">
        <f>33.25+1.5</f>
        <v>34.75</v>
      </c>
      <c r="LD19" s="254" t="s">
        <v>3182</v>
      </c>
      <c r="LE19" s="646">
        <v>83.17</v>
      </c>
      <c r="LF19" s="625" t="s">
        <v>2665</v>
      </c>
      <c r="LG19" s="175">
        <v>2600</v>
      </c>
      <c r="LH19" s="467">
        <v>45288</v>
      </c>
    </row>
    <row r="20" spans="1:321">
      <c r="A20" s="218" t="s">
        <v>996</v>
      </c>
      <c r="B20" s="469">
        <v>1218</v>
      </c>
      <c r="E20" s="166"/>
      <c r="F20" s="166"/>
      <c r="G20" s="218" t="s">
        <v>996</v>
      </c>
      <c r="H20" s="469">
        <v>1218</v>
      </c>
      <c r="K20" s="166"/>
      <c r="M20" s="218"/>
      <c r="N20" s="469"/>
      <c r="Q20" s="166" t="s">
        <v>431</v>
      </c>
      <c r="S20" s="218" t="s">
        <v>1046</v>
      </c>
      <c r="T20" s="469">
        <v>3800</v>
      </c>
      <c r="W20" s="242" t="s">
        <v>1029</v>
      </c>
      <c r="X20" s="341">
        <v>0</v>
      </c>
      <c r="Y20" s="218" t="s">
        <v>1045</v>
      </c>
      <c r="Z20" s="469">
        <v>550</v>
      </c>
      <c r="AC20" s="143" t="s">
        <v>1016</v>
      </c>
      <c r="AD20" s="341">
        <v>132.35</v>
      </c>
      <c r="AE20" s="218" t="s">
        <v>996</v>
      </c>
      <c r="AF20" s="469">
        <v>1142</v>
      </c>
      <c r="AI20" s="143" t="s">
        <v>1016</v>
      </c>
      <c r="AJ20" s="341">
        <v>250</v>
      </c>
      <c r="AK20" s="218" t="s">
        <v>996</v>
      </c>
      <c r="AL20" s="469">
        <v>1142</v>
      </c>
      <c r="AO20" s="242" t="s">
        <v>1026</v>
      </c>
      <c r="AP20" s="204">
        <v>0</v>
      </c>
      <c r="AQ20" s="218" t="s">
        <v>996</v>
      </c>
      <c r="AR20" s="469">
        <v>1142</v>
      </c>
      <c r="AU20" s="242" t="s">
        <v>1026</v>
      </c>
      <c r="AV20" s="204" t="s">
        <v>686</v>
      </c>
      <c r="AW20" s="218" t="s">
        <v>996</v>
      </c>
      <c r="AX20" s="469">
        <v>1142</v>
      </c>
      <c r="AY20" s="242"/>
      <c r="AZ20" s="204"/>
      <c r="BA20" s="218" t="s">
        <v>996</v>
      </c>
      <c r="BB20" s="469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9">
        <v>1142</v>
      </c>
      <c r="BI20" s="261"/>
      <c r="BK20" s="256" t="s">
        <v>1027</v>
      </c>
      <c r="BL20" s="204" t="s">
        <v>686</v>
      </c>
      <c r="BM20" s="218" t="s">
        <v>996</v>
      </c>
      <c r="BN20" s="469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69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9">
        <v>527.62</v>
      </c>
      <c r="CI20" s="256" t="s">
        <v>1027</v>
      </c>
      <c r="CJ20" s="263">
        <v>1316.1</v>
      </c>
      <c r="CK20" s="218" t="s">
        <v>1046</v>
      </c>
      <c r="CL20" s="469">
        <v>17242.32</v>
      </c>
      <c r="CO20" s="256" t="s">
        <v>1026</v>
      </c>
      <c r="CP20" s="204" t="s">
        <v>686</v>
      </c>
      <c r="CQ20" s="218" t="s">
        <v>1045</v>
      </c>
      <c r="CR20" s="469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9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9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9">
        <v>10000</v>
      </c>
      <c r="DK20" s="480" t="s">
        <v>1490</v>
      </c>
      <c r="DM20" s="270" t="s">
        <v>1520</v>
      </c>
      <c r="DN20" s="274">
        <v>420</v>
      </c>
      <c r="DO20" s="218" t="s">
        <v>1483</v>
      </c>
      <c r="DP20" s="479">
        <v>10000</v>
      </c>
      <c r="DQ20" s="480" t="s">
        <v>1579</v>
      </c>
      <c r="DS20" s="256" t="s">
        <v>1435</v>
      </c>
      <c r="DT20" s="261">
        <v>49.07</v>
      </c>
      <c r="DU20" s="218" t="s">
        <v>1497</v>
      </c>
      <c r="DV20" s="479">
        <v>10000</v>
      </c>
      <c r="DW20" s="197"/>
      <c r="DY20" s="242" t="s">
        <v>1537</v>
      </c>
      <c r="DZ20" s="341" t="s">
        <v>1604</v>
      </c>
      <c r="EA20" s="218"/>
      <c r="EB20" s="479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0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0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0">
        <v>745</v>
      </c>
      <c r="GR20" s="326" t="s">
        <v>2634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0">
        <v>33</v>
      </c>
      <c r="GZ20" s="299" t="s">
        <v>2073</v>
      </c>
      <c r="HA20" s="341">
        <v>97.12</v>
      </c>
      <c r="HB20" s="285" t="s">
        <v>1897</v>
      </c>
      <c r="HC20" s="490">
        <v>827</v>
      </c>
      <c r="HF20" s="299" t="s">
        <v>2039</v>
      </c>
      <c r="HG20" s="446">
        <f>2525.92/6</f>
        <v>420.98666666666668</v>
      </c>
      <c r="HH20" s="285" t="s">
        <v>1982</v>
      </c>
      <c r="HI20" s="319">
        <v>3000</v>
      </c>
      <c r="HJ20" s="521">
        <f>SUM(HJ15:HJ19)</f>
        <v>4926.7800000000007</v>
      </c>
      <c r="HK20" s="514" t="s">
        <v>2120</v>
      </c>
      <c r="HL20" s="297" t="s">
        <v>2122</v>
      </c>
      <c r="HM20" s="341">
        <v>33.5</v>
      </c>
      <c r="HN20" s="481" t="s">
        <v>1969</v>
      </c>
      <c r="HO20" s="341">
        <v>1000</v>
      </c>
      <c r="HR20" s="299" t="s">
        <v>2194</v>
      </c>
      <c r="HS20" s="341">
        <v>42.65</v>
      </c>
      <c r="HT20" s="320" t="s">
        <v>2905</v>
      </c>
      <c r="HU20" s="341">
        <v>2063</v>
      </c>
      <c r="HV20" s="513"/>
      <c r="HW20" s="522"/>
      <c r="HX20" s="299" t="s">
        <v>1195</v>
      </c>
      <c r="HY20" s="341">
        <f>6.5+15+10+6.7</f>
        <v>38.200000000000003</v>
      </c>
      <c r="HZ20" s="320" t="s">
        <v>2263</v>
      </c>
      <c r="IB20" s="523" t="s">
        <v>2268</v>
      </c>
      <c r="IC20" s="325">
        <v>626.70000000000005</v>
      </c>
      <c r="ID20" s="299" t="s">
        <v>2140</v>
      </c>
      <c r="IE20" s="446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6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6"/>
      <c r="JA20" s="328"/>
      <c r="JB20" s="299" t="s">
        <v>2937</v>
      </c>
      <c r="JC20" s="202">
        <f>10+30</f>
        <v>40</v>
      </c>
      <c r="JD20" s="320" t="s">
        <v>2582</v>
      </c>
      <c r="JE20" s="259">
        <v>10</v>
      </c>
      <c r="JF20" s="506"/>
      <c r="JG20" s="328"/>
      <c r="JH20" s="299" t="s">
        <v>1195</v>
      </c>
      <c r="JI20" s="202">
        <f>6.5+15</f>
        <v>21.5</v>
      </c>
      <c r="JJ20" s="320" t="s">
        <v>2642</v>
      </c>
      <c r="JK20" s="342">
        <v>44.23</v>
      </c>
      <c r="JL20" s="506"/>
      <c r="JM20" s="328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4">
        <v>15.42</v>
      </c>
      <c r="JT20" s="299" t="s">
        <v>2650</v>
      </c>
      <c r="JU20" s="202">
        <f>64+64+3</f>
        <v>131</v>
      </c>
      <c r="JV20" s="285" t="s">
        <v>2578</v>
      </c>
      <c r="JW20" s="319"/>
      <c r="JX20" s="217" t="s">
        <v>2812</v>
      </c>
      <c r="JY20" s="396">
        <v>27.05</v>
      </c>
      <c r="JZ20" s="243" t="s">
        <v>2717</v>
      </c>
      <c r="KA20" s="321">
        <v>1347.2</v>
      </c>
      <c r="KB20" s="285" t="s">
        <v>2578</v>
      </c>
      <c r="KC20" s="259"/>
      <c r="KD20" s="217" t="s">
        <v>2917</v>
      </c>
      <c r="KE20" s="396" t="s">
        <v>2887</v>
      </c>
      <c r="KF20" s="297" t="s">
        <v>2874</v>
      </c>
      <c r="KG20" s="202">
        <v>10</v>
      </c>
      <c r="KH20" s="204" t="s">
        <v>2880</v>
      </c>
      <c r="KI20" s="341">
        <f>KH21-0.99*195000</f>
        <v>-242</v>
      </c>
      <c r="KJ20" s="217" t="s">
        <v>2998</v>
      </c>
      <c r="KK20" s="396">
        <v>33</v>
      </c>
      <c r="KL20" s="143" t="s">
        <v>3041</v>
      </c>
      <c r="KM20" s="286">
        <v>198.07</v>
      </c>
      <c r="KN20" s="285" t="s">
        <v>2994</v>
      </c>
      <c r="KO20" s="319">
        <v>-425</v>
      </c>
      <c r="KR20" s="143" t="s">
        <v>2460</v>
      </c>
      <c r="KS20" s="202">
        <v>82.42</v>
      </c>
      <c r="KT20" s="204" t="s">
        <v>3057</v>
      </c>
      <c r="KU20" s="259">
        <f>KT21-0.99*195000</f>
        <v>-468</v>
      </c>
      <c r="KV20" s="217" t="s">
        <v>3007</v>
      </c>
      <c r="KW20" s="396">
        <f>34.33+1.58+0.5</f>
        <v>36.409999999999997</v>
      </c>
      <c r="KX20" s="254" t="s">
        <v>3142</v>
      </c>
      <c r="KY20" s="614">
        <v>20.05</v>
      </c>
      <c r="KZ20" s="445">
        <v>191328</v>
      </c>
      <c r="LA20" s="197"/>
      <c r="LB20" s="625" t="s">
        <v>3157</v>
      </c>
      <c r="LC20" s="624">
        <v>32.479999999999997</v>
      </c>
      <c r="LD20" s="243" t="s">
        <v>1834</v>
      </c>
      <c r="LE20" s="321">
        <v>10300</v>
      </c>
      <c r="LF20" s="626" t="s">
        <v>2666</v>
      </c>
      <c r="LG20" s="259">
        <v>863</v>
      </c>
      <c r="LH20" s="467">
        <v>45287</v>
      </c>
      <c r="LI20" s="259"/>
    </row>
    <row r="21" spans="1:321">
      <c r="A21" s="218" t="s">
        <v>997</v>
      </c>
      <c r="B21" s="469">
        <v>551</v>
      </c>
      <c r="E21" s="164"/>
      <c r="F21" s="166"/>
      <c r="G21" s="218" t="s">
        <v>997</v>
      </c>
      <c r="H21" s="469">
        <v>551</v>
      </c>
      <c r="K21" s="242" t="s">
        <v>1029</v>
      </c>
      <c r="L21" s="341">
        <v>0</v>
      </c>
      <c r="M21" s="715" t="s">
        <v>507</v>
      </c>
      <c r="N21" s="715"/>
      <c r="Q21" s="166" t="s">
        <v>365</v>
      </c>
      <c r="S21" s="715" t="s">
        <v>507</v>
      </c>
      <c r="T21" s="715"/>
      <c r="W21" s="242" t="s">
        <v>1026</v>
      </c>
      <c r="X21" s="341">
        <v>0</v>
      </c>
      <c r="Y21" s="218" t="s">
        <v>1046</v>
      </c>
      <c r="Z21" s="469">
        <v>13800</v>
      </c>
      <c r="AC21" s="143" t="s">
        <v>1015</v>
      </c>
      <c r="AD21" s="341">
        <v>0</v>
      </c>
      <c r="AE21" s="218" t="s">
        <v>1045</v>
      </c>
      <c r="AF21" s="469">
        <v>527</v>
      </c>
      <c r="AI21" s="143" t="s">
        <v>1015</v>
      </c>
      <c r="AJ21" s="204">
        <v>64</v>
      </c>
      <c r="AK21" s="218" t="s">
        <v>1045</v>
      </c>
      <c r="AL21" s="469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69">
        <v>527</v>
      </c>
      <c r="AU21" s="242" t="s">
        <v>1154</v>
      </c>
      <c r="AV21" s="204" t="s">
        <v>686</v>
      </c>
      <c r="AW21" s="218" t="s">
        <v>1045</v>
      </c>
      <c r="AX21" s="469">
        <v>527.62</v>
      </c>
      <c r="AY21" s="242"/>
      <c r="AZ21" s="204"/>
      <c r="BA21" s="218" t="s">
        <v>1045</v>
      </c>
      <c r="BB21" s="469">
        <f t="shared" si="0"/>
        <v>527.62</v>
      </c>
      <c r="BC21" s="261"/>
      <c r="BE21" s="242" t="s">
        <v>1026</v>
      </c>
      <c r="BF21" s="204"/>
      <c r="BG21" s="218" t="s">
        <v>1045</v>
      </c>
      <c r="BH21" s="469">
        <v>527.62</v>
      </c>
      <c r="BK21" s="256" t="s">
        <v>1026</v>
      </c>
      <c r="BL21" s="204" t="s">
        <v>686</v>
      </c>
      <c r="BM21" s="218" t="s">
        <v>1045</v>
      </c>
      <c r="BN21" s="469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69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9">
        <v>22203.86</v>
      </c>
      <c r="CI21" s="256" t="s">
        <v>1026</v>
      </c>
      <c r="CJ21" s="204" t="s">
        <v>686</v>
      </c>
      <c r="CK21" s="218" t="s">
        <v>1273</v>
      </c>
      <c r="CL21" s="469" t="s">
        <v>686</v>
      </c>
      <c r="CO21" s="257" t="s">
        <v>1337</v>
      </c>
      <c r="CP21" s="204" t="s">
        <v>1336</v>
      </c>
      <c r="CQ21" s="218" t="s">
        <v>1046</v>
      </c>
      <c r="CR21" s="469">
        <v>17242.32</v>
      </c>
      <c r="CS21" s="261"/>
      <c r="CU21" s="257" t="s">
        <v>1195</v>
      </c>
      <c r="CV21" s="204">
        <v>13</v>
      </c>
      <c r="CW21" s="218" t="s">
        <v>996</v>
      </c>
      <c r="CX21" s="469">
        <f>26991+10000</f>
        <v>36991</v>
      </c>
      <c r="DA21" s="256" t="s">
        <v>1286</v>
      </c>
      <c r="DB21" s="204">
        <v>119.11</v>
      </c>
      <c r="DC21" s="218" t="s">
        <v>1045</v>
      </c>
      <c r="DD21" s="469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9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9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9"/>
      <c r="DY21" s="242" t="s">
        <v>1512</v>
      </c>
      <c r="DZ21" s="341">
        <f>15.9+16.73+14.68+13.7+15.31+11.22+16.8+10</f>
        <v>114.34</v>
      </c>
      <c r="EA21" s="218" t="s">
        <v>1469</v>
      </c>
      <c r="EB21" s="479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70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0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0">
        <v>33</v>
      </c>
      <c r="GR21" s="341" t="s">
        <v>2633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0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4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2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5" t="s">
        <v>2268</v>
      </c>
      <c r="IC21" s="526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1" t="s">
        <v>2390</v>
      </c>
      <c r="IS21" s="341">
        <v>2007</v>
      </c>
      <c r="IT21" s="513"/>
      <c r="IV21" s="297" t="s">
        <v>2511</v>
      </c>
      <c r="IW21" s="202">
        <v>80</v>
      </c>
      <c r="IX21" s="481" t="s">
        <v>2390</v>
      </c>
      <c r="IY21" s="341">
        <v>2013</v>
      </c>
      <c r="IZ21" s="506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6"/>
      <c r="JG21" s="328"/>
      <c r="JH21" s="299" t="s">
        <v>2622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4" t="s">
        <v>2712</v>
      </c>
      <c r="JS21" s="527">
        <f>783.33+1167.38+1493.5+2179.3</f>
        <v>5623.51</v>
      </c>
      <c r="JT21" s="299" t="s">
        <v>2724</v>
      </c>
      <c r="JU21" s="202">
        <v>6.97</v>
      </c>
      <c r="JV21" s="481" t="s">
        <v>2390</v>
      </c>
      <c r="JW21" s="259">
        <v>1000</v>
      </c>
      <c r="JX21" s="217" t="s">
        <v>2918</v>
      </c>
      <c r="JY21" s="396">
        <v>13.23</v>
      </c>
      <c r="JZ21" s="243" t="s">
        <v>2837</v>
      </c>
      <c r="KA21" s="321">
        <v>1322.98</v>
      </c>
      <c r="KB21" s="481" t="s">
        <v>2390</v>
      </c>
      <c r="KC21" s="259">
        <v>1000</v>
      </c>
      <c r="KD21" s="285" t="s">
        <v>2919</v>
      </c>
      <c r="KE21" s="328">
        <f>63.91+71.9+199.73+2.07</f>
        <v>337.60999999999996</v>
      </c>
      <c r="KF21" s="297" t="s">
        <v>2884</v>
      </c>
      <c r="KG21" s="202">
        <v>108.001</v>
      </c>
      <c r="KH21" s="445">
        <v>192808</v>
      </c>
      <c r="KI21" s="197"/>
      <c r="KJ21" s="217" t="s">
        <v>2916</v>
      </c>
      <c r="KK21" s="396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3058</v>
      </c>
      <c r="KQ21" s="341">
        <v>1895.66</v>
      </c>
      <c r="KR21" s="143" t="s">
        <v>3017</v>
      </c>
      <c r="KS21" s="202">
        <v>30</v>
      </c>
      <c r="KT21" s="445">
        <v>192582</v>
      </c>
      <c r="KU21" s="197"/>
      <c r="KV21" s="592" t="s">
        <v>3119</v>
      </c>
      <c r="KW21" s="341">
        <v>546.92999999999995</v>
      </c>
      <c r="KX21" s="254" t="s">
        <v>3146</v>
      </c>
      <c r="KY21" s="617">
        <v>399.3</v>
      </c>
      <c r="KZ21" s="204" t="s">
        <v>2665</v>
      </c>
      <c r="LA21" s="259">
        <v>2600</v>
      </c>
      <c r="LB21" s="625" t="s">
        <v>3156</v>
      </c>
      <c r="LC21" s="624">
        <v>21.18</v>
      </c>
      <c r="LD21" s="243" t="s">
        <v>3001</v>
      </c>
      <c r="LE21" s="396">
        <f>1314-LE22</f>
        <v>1179</v>
      </c>
      <c r="LF21" s="626" t="s">
        <v>2667</v>
      </c>
      <c r="LG21" s="720">
        <v>1832</v>
      </c>
      <c r="LH21" s="467" t="s">
        <v>3212</v>
      </c>
      <c r="LI21" s="335"/>
    </row>
    <row r="22" spans="1:321">
      <c r="A22" s="218"/>
      <c r="B22" s="469"/>
      <c r="E22" s="165" t="s">
        <v>446</v>
      </c>
      <c r="F22" s="166"/>
      <c r="G22" s="218"/>
      <c r="H22" s="469"/>
      <c r="K22" s="242" t="s">
        <v>1026</v>
      </c>
      <c r="L22" s="341">
        <v>0</v>
      </c>
      <c r="M22" s="710" t="s">
        <v>990</v>
      </c>
      <c r="N22" s="710"/>
      <c r="Q22" s="166" t="s">
        <v>369</v>
      </c>
      <c r="S22" s="710" t="s">
        <v>990</v>
      </c>
      <c r="T22" s="710"/>
      <c r="W22" s="242" t="s">
        <v>1019</v>
      </c>
      <c r="X22" s="341">
        <v>0</v>
      </c>
      <c r="Y22" s="715" t="s">
        <v>507</v>
      </c>
      <c r="Z22" s="715"/>
      <c r="AC22" s="143" t="s">
        <v>1014</v>
      </c>
      <c r="AD22" s="341">
        <v>80.001000000000005</v>
      </c>
      <c r="AE22" s="218" t="s">
        <v>1046</v>
      </c>
      <c r="AF22" s="469" t="s">
        <v>1079</v>
      </c>
      <c r="AI22" s="143" t="s">
        <v>1014</v>
      </c>
      <c r="AJ22" s="204">
        <v>150</v>
      </c>
      <c r="AK22" s="218" t="s">
        <v>1046</v>
      </c>
      <c r="AL22" s="469" t="s">
        <v>1079</v>
      </c>
      <c r="AO22" s="242" t="s">
        <v>1126</v>
      </c>
      <c r="AP22" s="204">
        <v>0</v>
      </c>
      <c r="AQ22" s="218" t="s">
        <v>1046</v>
      </c>
      <c r="AR22" s="469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69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69">
        <f>10000+4000</f>
        <v>14000</v>
      </c>
      <c r="CC22" s="256" t="s">
        <v>1029</v>
      </c>
      <c r="CD22" s="217" t="s">
        <v>686</v>
      </c>
      <c r="CE22" s="218" t="s">
        <v>1273</v>
      </c>
      <c r="CF22" s="469">
        <v>10000</v>
      </c>
      <c r="CI22" s="257" t="s">
        <v>1324</v>
      </c>
      <c r="CJ22" s="204">
        <v>91.86</v>
      </c>
      <c r="CK22" s="528" t="s">
        <v>1268</v>
      </c>
      <c r="CL22" s="529">
        <v>-20000</v>
      </c>
      <c r="CO22" s="257" t="s">
        <v>1351</v>
      </c>
      <c r="CP22" s="204">
        <v>57.34</v>
      </c>
      <c r="CQ22" s="528" t="s">
        <v>1268</v>
      </c>
      <c r="CR22" s="529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8" t="s">
        <v>1268</v>
      </c>
      <c r="CX22" s="529">
        <v>-20000</v>
      </c>
      <c r="DA22" s="256" t="s">
        <v>1334</v>
      </c>
      <c r="DB22" s="204">
        <v>53.24</v>
      </c>
      <c r="DC22" s="218" t="s">
        <v>996</v>
      </c>
      <c r="DD22" s="469">
        <v>45991</v>
      </c>
      <c r="DF22" s="204"/>
      <c r="DG22" s="271" t="s">
        <v>1415</v>
      </c>
      <c r="DH22" s="261" t="s">
        <v>686</v>
      </c>
      <c r="DI22" s="218" t="s">
        <v>1458</v>
      </c>
      <c r="DJ22" s="479">
        <v>10000</v>
      </c>
      <c r="DM22" s="267" t="s">
        <v>1517</v>
      </c>
      <c r="DN22" s="277">
        <v>189.2</v>
      </c>
      <c r="DO22" s="218" t="s">
        <v>1469</v>
      </c>
      <c r="DP22" s="479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9">
        <v>5000</v>
      </c>
      <c r="EA22" s="218" t="s">
        <v>1457</v>
      </c>
      <c r="EB22" s="479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70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4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4"/>
      <c r="HX22" s="299" t="s">
        <v>2214</v>
      </c>
      <c r="HY22" s="341">
        <v>64</v>
      </c>
      <c r="HZ22" s="320" t="s">
        <v>2905</v>
      </c>
      <c r="IA22" s="319">
        <v>2000</v>
      </c>
      <c r="IB22" s="530" t="s">
        <v>2266</v>
      </c>
      <c r="IC22" s="531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2930</v>
      </c>
      <c r="II22" s="341">
        <f>9.86*4</f>
        <v>39.44</v>
      </c>
      <c r="IJ22" s="299" t="s">
        <v>2208</v>
      </c>
      <c r="IK22" s="341">
        <v>64</v>
      </c>
      <c r="IL22" s="320" t="s">
        <v>2912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4" t="s">
        <v>2135</v>
      </c>
      <c r="IU22" s="694"/>
      <c r="IV22" s="297" t="s">
        <v>2503</v>
      </c>
      <c r="IW22" s="202">
        <v>42.51</v>
      </c>
      <c r="IX22" s="326" t="s">
        <v>2414</v>
      </c>
      <c r="IZ22" s="506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6"/>
      <c r="JM22" s="328"/>
      <c r="JN22" s="297" t="s">
        <v>2931</v>
      </c>
      <c r="JO22" s="259">
        <v>2953</v>
      </c>
      <c r="JP22" s="481" t="s">
        <v>2390</v>
      </c>
      <c r="JQ22" s="259">
        <v>1000</v>
      </c>
      <c r="JR22" s="494" t="s">
        <v>2719</v>
      </c>
      <c r="JS22" s="527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2920</v>
      </c>
      <c r="JY22" s="396">
        <v>31.96</v>
      </c>
      <c r="JZ22" s="243" t="s">
        <v>2827</v>
      </c>
      <c r="KA22" s="321">
        <v>1730.87</v>
      </c>
      <c r="KB22" s="326" t="s">
        <v>2408</v>
      </c>
      <c r="KC22" s="202"/>
      <c r="KD22" s="204" t="s">
        <v>2882</v>
      </c>
      <c r="KE22" s="328">
        <f>7000*(1-98.14%)</f>
        <v>130.19999999999965</v>
      </c>
      <c r="KF22" s="297" t="s">
        <v>2862</v>
      </c>
      <c r="KG22" s="341">
        <v>135.69999999999999</v>
      </c>
      <c r="KH22" s="204" t="s">
        <v>2665</v>
      </c>
      <c r="KI22" s="259">
        <v>2600</v>
      </c>
      <c r="KJ22" s="217" t="s">
        <v>2891</v>
      </c>
      <c r="KK22" s="328">
        <v>380.32</v>
      </c>
      <c r="KL22" s="143" t="s">
        <v>1195</v>
      </c>
      <c r="KM22" s="202">
        <f>6.5+15</f>
        <v>21.5</v>
      </c>
      <c r="KN22" s="445">
        <v>137150</v>
      </c>
      <c r="KO22" s="197"/>
      <c r="KP22" s="204" t="s">
        <v>3059</v>
      </c>
      <c r="KQ22" s="446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2" t="s">
        <v>3120</v>
      </c>
      <c r="KW22" s="341">
        <v>297.89999999999998</v>
      </c>
      <c r="KX22" s="254" t="s">
        <v>3148</v>
      </c>
      <c r="KY22" s="611">
        <f>388.8-248.41</f>
        <v>140.39000000000001</v>
      </c>
      <c r="KZ22" s="320" t="s">
        <v>2666</v>
      </c>
      <c r="LA22" s="259">
        <v>656</v>
      </c>
      <c r="LB22" s="633" t="s">
        <v>3179</v>
      </c>
      <c r="LC22" s="624">
        <f>611.37+8.86</f>
        <v>620.23</v>
      </c>
      <c r="LD22" s="143" t="s">
        <v>3002</v>
      </c>
      <c r="LE22" s="286">
        <v>135</v>
      </c>
      <c r="LF22" s="626" t="s">
        <v>2938</v>
      </c>
      <c r="LG22" s="259">
        <v>10</v>
      </c>
      <c r="LH22" s="467">
        <v>45287</v>
      </c>
      <c r="LI22" s="259"/>
    </row>
    <row r="23" spans="1:321">
      <c r="A23" s="715" t="s">
        <v>507</v>
      </c>
      <c r="B23" s="715"/>
      <c r="E23" s="164" t="s">
        <v>237</v>
      </c>
      <c r="F23" s="166"/>
      <c r="G23" s="715" t="s">
        <v>507</v>
      </c>
      <c r="H23" s="715"/>
      <c r="K23" s="242" t="s">
        <v>1019</v>
      </c>
      <c r="L23" s="341">
        <v>0</v>
      </c>
      <c r="M23" s="707"/>
      <c r="N23" s="707"/>
      <c r="Q23" s="166" t="s">
        <v>1056</v>
      </c>
      <c r="S23" s="707"/>
      <c r="T23" s="707"/>
      <c r="W23" s="242" t="s">
        <v>1027</v>
      </c>
      <c r="X23" s="204">
        <v>0</v>
      </c>
      <c r="Y23" s="710" t="s">
        <v>990</v>
      </c>
      <c r="Z23" s="710"/>
      <c r="AE23" s="715" t="s">
        <v>507</v>
      </c>
      <c r="AF23" s="715"/>
      <c r="AK23" s="715" t="s">
        <v>507</v>
      </c>
      <c r="AL23" s="715"/>
      <c r="AO23" s="242" t="s">
        <v>1029</v>
      </c>
      <c r="AP23" s="341">
        <v>140</v>
      </c>
      <c r="AQ23" s="485" t="s">
        <v>507</v>
      </c>
      <c r="AR23" s="485"/>
      <c r="AU23" s="242" t="s">
        <v>1029</v>
      </c>
      <c r="AV23" s="341" t="s">
        <v>686</v>
      </c>
      <c r="AW23" s="485" t="s">
        <v>507</v>
      </c>
      <c r="AX23" s="528"/>
      <c r="AY23" s="242"/>
      <c r="BA23" s="528" t="s">
        <v>347</v>
      </c>
      <c r="BB23" s="528">
        <v>-30000</v>
      </c>
      <c r="BE23" s="143" t="s">
        <v>1052</v>
      </c>
      <c r="BF23" s="204" t="s">
        <v>657</v>
      </c>
      <c r="BG23" s="528" t="s">
        <v>347</v>
      </c>
      <c r="BH23" s="528">
        <v>-30000</v>
      </c>
      <c r="BK23" s="257" t="s">
        <v>1052</v>
      </c>
      <c r="BL23" s="204" t="s">
        <v>657</v>
      </c>
      <c r="BM23" s="528" t="s">
        <v>347</v>
      </c>
      <c r="BN23" s="528">
        <v>-30000</v>
      </c>
      <c r="BQ23" s="257" t="s">
        <v>1257</v>
      </c>
      <c r="BR23" s="204">
        <v>121.05</v>
      </c>
      <c r="BS23" s="528" t="s">
        <v>1229</v>
      </c>
      <c r="BT23" s="533">
        <v>-20000</v>
      </c>
      <c r="BW23" s="257" t="s">
        <v>1052</v>
      </c>
      <c r="BX23" s="204" t="s">
        <v>657</v>
      </c>
      <c r="BY23" s="528" t="s">
        <v>1268</v>
      </c>
      <c r="BZ23" s="529">
        <v>-20000</v>
      </c>
      <c r="CC23" s="257" t="s">
        <v>1052</v>
      </c>
      <c r="CD23" s="204">
        <v>47.12</v>
      </c>
      <c r="CE23" s="528" t="s">
        <v>1268</v>
      </c>
      <c r="CF23" s="529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4" t="s">
        <v>1313</v>
      </c>
      <c r="CX23" s="469"/>
      <c r="DA23" s="256" t="s">
        <v>1303</v>
      </c>
      <c r="DB23" s="204">
        <v>64</v>
      </c>
      <c r="DC23" s="528" t="s">
        <v>1268</v>
      </c>
      <c r="DD23" s="529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9">
        <v>10000</v>
      </c>
      <c r="DK23" s="204"/>
      <c r="DM23" s="267"/>
      <c r="DN23" s="261"/>
      <c r="DO23" s="218" t="s">
        <v>1457</v>
      </c>
      <c r="DP23" s="479">
        <v>5000</v>
      </c>
      <c r="DQ23" s="204"/>
      <c r="DS23" s="256" t="s">
        <v>1334</v>
      </c>
      <c r="DT23" s="261">
        <v>11</v>
      </c>
      <c r="DU23" s="218" t="s">
        <v>1457</v>
      </c>
      <c r="DV23" s="479">
        <v>5000</v>
      </c>
      <c r="DY23" s="297" t="s">
        <v>1602</v>
      </c>
      <c r="DZ23" s="341">
        <v>25</v>
      </c>
      <c r="EA23" s="218" t="s">
        <v>1494</v>
      </c>
      <c r="EB23" s="479">
        <v>5000</v>
      </c>
      <c r="EE23" s="701" t="s">
        <v>1536</v>
      </c>
      <c r="EF23" s="70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70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70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4" t="s">
        <v>2135</v>
      </c>
      <c r="HK23" s="69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2">
        <f>16.5+14.09+10+1.34+13.21+16.39+15.89+17.3</f>
        <v>104.72</v>
      </c>
      <c r="HT23" s="320" t="s">
        <v>2180</v>
      </c>
      <c r="HU23" s="341">
        <f>5002+10000+10000+5000</f>
        <v>30002</v>
      </c>
      <c r="HV23" s="694" t="s">
        <v>2135</v>
      </c>
      <c r="HW23" s="694"/>
      <c r="HX23" s="299" t="s">
        <v>2250</v>
      </c>
      <c r="HY23" s="341">
        <v>30</v>
      </c>
      <c r="HZ23" s="320" t="s">
        <v>2211</v>
      </c>
      <c r="IA23" s="259">
        <v>60000.04</v>
      </c>
      <c r="IB23" s="513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2911</v>
      </c>
      <c r="II23" s="341">
        <f>2.74+2.52+1.19*2</f>
        <v>7.64</v>
      </c>
      <c r="IJ23" s="299" t="s">
        <v>2309</v>
      </c>
      <c r="IK23" s="512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3"/>
      <c r="JB23" s="299" t="s">
        <v>2152</v>
      </c>
      <c r="JC23" s="202">
        <f>9+14.32</f>
        <v>23.32</v>
      </c>
      <c r="JD23" s="481" t="s">
        <v>2390</v>
      </c>
      <c r="JE23" s="341">
        <v>1000</v>
      </c>
      <c r="JF23" s="506"/>
      <c r="JG23" s="328"/>
      <c r="JH23" s="392" t="s">
        <v>2623</v>
      </c>
      <c r="JI23" s="336">
        <v>4.05</v>
      </c>
      <c r="JJ23" s="285" t="s">
        <v>2578</v>
      </c>
      <c r="JL23" s="506"/>
      <c r="JM23" s="328"/>
      <c r="JN23" s="297" t="s">
        <v>2649</v>
      </c>
      <c r="JO23" s="202">
        <v>50.23</v>
      </c>
      <c r="JP23" s="326" t="s">
        <v>2414</v>
      </c>
      <c r="JQ23" s="259"/>
      <c r="JS23" s="328"/>
      <c r="JT23" s="297" t="s">
        <v>2714</v>
      </c>
      <c r="JU23" s="202">
        <v>10</v>
      </c>
      <c r="JV23" s="326" t="s">
        <v>2408</v>
      </c>
      <c r="JW23" s="202"/>
      <c r="JX23" s="285" t="s">
        <v>2921</v>
      </c>
      <c r="JY23" s="396">
        <f>85.99+30.96</f>
        <v>116.94999999999999</v>
      </c>
      <c r="JZ23" s="243" t="s">
        <v>2813</v>
      </c>
      <c r="KA23" s="321">
        <v>1713.69</v>
      </c>
      <c r="KB23" s="326" t="s">
        <v>2414</v>
      </c>
      <c r="KC23" s="202"/>
      <c r="KD23" s="204" t="s">
        <v>2883</v>
      </c>
      <c r="KE23" s="341">
        <f>1660.5+1107</f>
        <v>2767.5</v>
      </c>
      <c r="KF23" s="297" t="s">
        <v>2907</v>
      </c>
      <c r="KG23" s="336">
        <v>10</v>
      </c>
      <c r="KH23" s="320" t="s">
        <v>2666</v>
      </c>
      <c r="KI23" s="259">
        <v>1</v>
      </c>
      <c r="KJ23" s="217" t="s">
        <v>2890</v>
      </c>
      <c r="KK23" s="328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3060</v>
      </c>
      <c r="KQ23" s="446">
        <v>2597.87</v>
      </c>
      <c r="KR23" s="143" t="s">
        <v>3076</v>
      </c>
      <c r="KS23" s="274">
        <v>109.75</v>
      </c>
      <c r="KT23" s="320" t="s">
        <v>2666</v>
      </c>
      <c r="KU23" s="259">
        <v>1238</v>
      </c>
      <c r="KV23" s="597" t="s">
        <v>3102</v>
      </c>
      <c r="KW23" s="596">
        <f>5000*(1-0.9813)</f>
        <v>93.500000000000256</v>
      </c>
      <c r="KX23" s="243" t="s">
        <v>3001</v>
      </c>
      <c r="KY23" s="321">
        <f>1338.94-KY24</f>
        <v>1196.72</v>
      </c>
      <c r="KZ23" s="320" t="s">
        <v>2667</v>
      </c>
      <c r="LA23" s="335">
        <v>1072</v>
      </c>
      <c r="LB23" s="642" t="s">
        <v>3178</v>
      </c>
      <c r="LC23" s="328">
        <v>35.44</v>
      </c>
      <c r="LD23" s="143" t="s">
        <v>3208</v>
      </c>
      <c r="LE23" s="286">
        <v>176.86</v>
      </c>
      <c r="LF23" s="621" t="s">
        <v>3048</v>
      </c>
      <c r="LG23" s="259">
        <v>160</v>
      </c>
      <c r="LH23" s="467">
        <v>45287</v>
      </c>
      <c r="LI23" s="335"/>
    </row>
    <row r="24" spans="1:321">
      <c r="A24" s="710" t="s">
        <v>990</v>
      </c>
      <c r="B24" s="710"/>
      <c r="E24" s="164" t="s">
        <v>139</v>
      </c>
      <c r="F24" s="166"/>
      <c r="G24" s="710" t="s">
        <v>990</v>
      </c>
      <c r="H24" s="710"/>
      <c r="K24" s="242" t="s">
        <v>1027</v>
      </c>
      <c r="L24" s="204">
        <v>0</v>
      </c>
      <c r="M24" s="707"/>
      <c r="N24" s="707"/>
      <c r="Q24" s="242" t="s">
        <v>1029</v>
      </c>
      <c r="R24" s="341">
        <v>0</v>
      </c>
      <c r="S24" s="707"/>
      <c r="T24" s="707"/>
      <c r="W24" s="242" t="s">
        <v>1050</v>
      </c>
      <c r="X24" s="341">
        <v>910.17</v>
      </c>
      <c r="Y24" s="707"/>
      <c r="Z24" s="707"/>
      <c r="AC24" s="245" t="s">
        <v>1083</v>
      </c>
      <c r="AD24" s="341">
        <v>90</v>
      </c>
      <c r="AE24" s="710" t="s">
        <v>990</v>
      </c>
      <c r="AF24" s="710"/>
      <c r="AI24" s="243" t="s">
        <v>1101</v>
      </c>
      <c r="AJ24" s="341">
        <v>30</v>
      </c>
      <c r="AK24" s="710" t="s">
        <v>990</v>
      </c>
      <c r="AL24" s="71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10"/>
      <c r="BH24" s="710"/>
      <c r="BK24" s="257" t="s">
        <v>1222</v>
      </c>
      <c r="BL24" s="204">
        <v>48.54</v>
      </c>
      <c r="BM24" s="710"/>
      <c r="BN24" s="710"/>
      <c r="BQ24" s="257" t="s">
        <v>1051</v>
      </c>
      <c r="BR24" s="204">
        <v>50.15</v>
      </c>
      <c r="BS24" s="710" t="s">
        <v>1245</v>
      </c>
      <c r="BT24" s="710"/>
      <c r="BW24" s="257" t="s">
        <v>1051</v>
      </c>
      <c r="BX24" s="204">
        <v>48.54</v>
      </c>
      <c r="BY24" s="710"/>
      <c r="BZ24" s="710"/>
      <c r="CC24" s="257" t="s">
        <v>1051</v>
      </c>
      <c r="CD24" s="204">
        <v>142.91</v>
      </c>
      <c r="CE24" s="710"/>
      <c r="CF24" s="710"/>
      <c r="CI24" s="257" t="s">
        <v>1312</v>
      </c>
      <c r="CJ24" s="204">
        <v>35.049999999999997</v>
      </c>
      <c r="CK24" s="707"/>
      <c r="CL24" s="707"/>
      <c r="CO24" s="257" t="s">
        <v>1286</v>
      </c>
      <c r="CP24" s="204">
        <v>153.41</v>
      </c>
      <c r="CQ24" s="707" t="s">
        <v>1327</v>
      </c>
      <c r="CR24" s="707"/>
      <c r="CU24" s="257" t="s">
        <v>1303</v>
      </c>
      <c r="CV24" s="204">
        <v>32</v>
      </c>
      <c r="CW24" s="534" t="s">
        <v>1352</v>
      </c>
      <c r="CX24" s="534" t="s">
        <v>1367</v>
      </c>
      <c r="DA24" s="256" t="s">
        <v>1402</v>
      </c>
      <c r="DB24" s="204">
        <v>0</v>
      </c>
      <c r="DC24" s="534" t="s">
        <v>1313</v>
      </c>
      <c r="DD24" s="469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9">
        <v>40000</v>
      </c>
      <c r="DK24" s="204"/>
      <c r="DM24" s="256" t="s">
        <v>1565</v>
      </c>
      <c r="DN24" s="261">
        <v>118.12</v>
      </c>
      <c r="DO24" s="218" t="s">
        <v>1494</v>
      </c>
      <c r="DP24" s="479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9">
        <v>5000</v>
      </c>
      <c r="DY24" s="297" t="s">
        <v>1612</v>
      </c>
      <c r="DZ24" s="341">
        <v>20.100000000000001</v>
      </c>
      <c r="EA24" s="218" t="s">
        <v>1495</v>
      </c>
      <c r="EB24" s="479">
        <v>5000</v>
      </c>
      <c r="EE24" s="535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70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4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2">
        <f>17.86+15.16+7.54+15.3+16.45+13.02</f>
        <v>85.33</v>
      </c>
      <c r="HZ24" s="320" t="s">
        <v>2212</v>
      </c>
      <c r="IA24" s="259">
        <v>160001.65</v>
      </c>
      <c r="IB24" s="513"/>
      <c r="ID24" s="299" t="s">
        <v>1012</v>
      </c>
      <c r="IE24" s="341">
        <f>9</f>
        <v>9</v>
      </c>
      <c r="IF24" s="481" t="s">
        <v>1969</v>
      </c>
      <c r="IG24" s="341">
        <v>1002</v>
      </c>
      <c r="IJ24" s="297" t="s">
        <v>2370</v>
      </c>
      <c r="IK24" s="341">
        <v>60</v>
      </c>
      <c r="IL24" s="481" t="s">
        <v>2390</v>
      </c>
      <c r="IM24" s="341">
        <v>1004</v>
      </c>
      <c r="IO24" s="321"/>
      <c r="IP24" s="297" t="s">
        <v>2409</v>
      </c>
      <c r="IQ24" s="202">
        <v>40.5</v>
      </c>
      <c r="IR24" s="481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6"/>
      <c r="JG24" s="328"/>
      <c r="JH24" s="299" t="s">
        <v>2309</v>
      </c>
      <c r="JI24" s="202">
        <f>15.55+10+15.6+17.36+16.4+10+14.01+16.99+15.65</f>
        <v>131.56</v>
      </c>
      <c r="JJ24" s="481" t="s">
        <v>2390</v>
      </c>
      <c r="JK24" s="341">
        <v>1000</v>
      </c>
      <c r="JL24" s="513"/>
      <c r="JN24" s="297" t="s">
        <v>2656</v>
      </c>
      <c r="JO24" s="202">
        <f>9+2</f>
        <v>11</v>
      </c>
      <c r="JP24" s="326" t="s">
        <v>2682</v>
      </c>
      <c r="JQ24" s="259">
        <v>14.8</v>
      </c>
      <c r="JR24" s="464" t="s">
        <v>2654</v>
      </c>
      <c r="JS24" s="464"/>
      <c r="JT24" s="297" t="s">
        <v>2739</v>
      </c>
      <c r="JU24" s="202">
        <v>48.2</v>
      </c>
      <c r="JV24" s="326" t="s">
        <v>2707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2806</v>
      </c>
      <c r="KC24" s="202">
        <v>1.64</v>
      </c>
      <c r="KD24" s="341">
        <f>150000*(1-0.98155)</f>
        <v>2767.499999999995</v>
      </c>
      <c r="KE24" s="341" t="s">
        <v>2972</v>
      </c>
      <c r="KF24" s="297" t="s">
        <v>2851</v>
      </c>
      <c r="KG24" s="336">
        <v>38</v>
      </c>
      <c r="KH24" s="320" t="s">
        <v>2667</v>
      </c>
      <c r="KI24" s="335">
        <v>408</v>
      </c>
      <c r="KJ24" s="204" t="s">
        <v>2978</v>
      </c>
      <c r="KK24" s="341">
        <f>20000*(1-0.9814)</f>
        <v>371.99999999999898</v>
      </c>
      <c r="KL24" s="143" t="s">
        <v>2724</v>
      </c>
      <c r="KM24" s="202">
        <v>10.8</v>
      </c>
      <c r="KN24" s="320" t="s">
        <v>2666</v>
      </c>
      <c r="KO24" s="259">
        <v>520</v>
      </c>
      <c r="KP24" s="204" t="s">
        <v>3061</v>
      </c>
      <c r="KQ24" s="446">
        <v>2650.71</v>
      </c>
      <c r="KR24" s="143" t="s">
        <v>3009</v>
      </c>
      <c r="KS24" s="274">
        <v>131.87</v>
      </c>
      <c r="KT24" s="320" t="s">
        <v>2667</v>
      </c>
      <c r="KU24" s="335">
        <v>41061</v>
      </c>
      <c r="KV24" s="610" t="s">
        <v>3126</v>
      </c>
      <c r="KW24" s="328">
        <f>5000*2*(1-0.98105)</f>
        <v>189.50000000000023</v>
      </c>
      <c r="KX24" s="143" t="s">
        <v>3002</v>
      </c>
      <c r="KY24" s="327">
        <v>142.22</v>
      </c>
      <c r="KZ24" s="320" t="s">
        <v>2938</v>
      </c>
      <c r="LA24" s="259">
        <v>10</v>
      </c>
      <c r="LB24" s="625" t="s">
        <v>3102</v>
      </c>
      <c r="LC24" s="624">
        <v>93.25</v>
      </c>
      <c r="LD24" s="143" t="s">
        <v>2460</v>
      </c>
      <c r="LE24" s="202">
        <v>72.06</v>
      </c>
      <c r="LF24" s="629" t="s">
        <v>2390</v>
      </c>
      <c r="LG24" s="259">
        <v>1000</v>
      </c>
    </row>
    <row r="25" spans="1:321">
      <c r="A25" s="707"/>
      <c r="B25" s="707"/>
      <c r="E25" s="197" t="s">
        <v>362</v>
      </c>
      <c r="F25" s="170"/>
      <c r="G25" s="707"/>
      <c r="H25" s="707"/>
      <c r="K25" s="242" t="s">
        <v>1018</v>
      </c>
      <c r="L25" s="341">
        <f>910+40</f>
        <v>950</v>
      </c>
      <c r="M25" s="707"/>
      <c r="N25" s="707"/>
      <c r="Q25" s="242" t="s">
        <v>1026</v>
      </c>
      <c r="R25" s="341">
        <v>0</v>
      </c>
      <c r="S25" s="707"/>
      <c r="T25" s="707"/>
      <c r="W25" s="143" t="s">
        <v>1085</v>
      </c>
      <c r="X25" s="341">
        <v>110.58</v>
      </c>
      <c r="Y25" s="707"/>
      <c r="Z25" s="707"/>
      <c r="AE25" s="707"/>
      <c r="AF25" s="707"/>
      <c r="AK25" s="707"/>
      <c r="AL25" s="70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707"/>
      <c r="AX25" s="707"/>
      <c r="AY25" s="143"/>
      <c r="AZ25" s="204"/>
      <c r="BA25" s="707"/>
      <c r="BB25" s="707"/>
      <c r="BE25" s="143" t="s">
        <v>1195</v>
      </c>
      <c r="BF25" s="204">
        <f>6.5*2</f>
        <v>13</v>
      </c>
      <c r="BG25" s="707"/>
      <c r="BH25" s="707"/>
      <c r="BK25" s="257" t="s">
        <v>1195</v>
      </c>
      <c r="BL25" s="204">
        <f>6.5*2</f>
        <v>13</v>
      </c>
      <c r="BM25" s="707"/>
      <c r="BN25" s="707"/>
      <c r="BQ25" s="257" t="s">
        <v>1195</v>
      </c>
      <c r="BR25" s="204">
        <v>13</v>
      </c>
      <c r="BS25" s="707"/>
      <c r="BT25" s="707"/>
      <c r="BW25" s="257" t="s">
        <v>1195</v>
      </c>
      <c r="BX25" s="204">
        <v>13</v>
      </c>
      <c r="BY25" s="707"/>
      <c r="BZ25" s="707"/>
      <c r="CC25" s="257" t="s">
        <v>1195</v>
      </c>
      <c r="CD25" s="204">
        <v>13</v>
      </c>
      <c r="CE25" s="707"/>
      <c r="CF25" s="707"/>
      <c r="CI25" s="257" t="s">
        <v>1195</v>
      </c>
      <c r="CJ25" s="204">
        <v>13</v>
      </c>
      <c r="CK25" s="197" t="s">
        <v>506</v>
      </c>
      <c r="CL25" s="536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4" t="s">
        <v>1387</v>
      </c>
      <c r="CX25" s="534" t="s">
        <v>1366</v>
      </c>
      <c r="DA25" s="269" t="s">
        <v>1101</v>
      </c>
      <c r="DB25" s="217">
        <v>52.3</v>
      </c>
      <c r="DC25" s="534" t="s">
        <v>1389</v>
      </c>
      <c r="DD25" s="534">
        <v>81</v>
      </c>
      <c r="DG25" s="270" t="s">
        <v>1462</v>
      </c>
      <c r="DH25" s="274">
        <v>378.81</v>
      </c>
      <c r="DI25" s="218" t="s">
        <v>1448</v>
      </c>
      <c r="DJ25" s="479">
        <v>10000</v>
      </c>
      <c r="DM25" s="256" t="s">
        <v>1435</v>
      </c>
      <c r="DN25" s="261"/>
      <c r="DO25" s="218" t="s">
        <v>1495</v>
      </c>
      <c r="DP25" s="479">
        <v>5000</v>
      </c>
      <c r="DS25" s="256" t="s">
        <v>1537</v>
      </c>
      <c r="DT25" s="261">
        <v>64</v>
      </c>
      <c r="DU25" s="218" t="s">
        <v>1495</v>
      </c>
      <c r="DV25" s="479">
        <v>5000</v>
      </c>
      <c r="DY25" s="705" t="s">
        <v>1536</v>
      </c>
      <c r="DZ25" s="706"/>
      <c r="EA25" s="218" t="s">
        <v>1493</v>
      </c>
      <c r="EB25" s="479">
        <v>5000</v>
      </c>
      <c r="EE25" s="537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701" t="s">
        <v>1536</v>
      </c>
      <c r="ES25" s="701"/>
      <c r="ET25" s="285" t="s">
        <v>1702</v>
      </c>
      <c r="EU25" s="319">
        <v>20000</v>
      </c>
      <c r="EW25" s="70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4"/>
      <c r="HR25" s="297" t="s">
        <v>2186</v>
      </c>
      <c r="HS25" s="341">
        <v>26.6</v>
      </c>
      <c r="HT25" s="490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4" t="s">
        <v>2135</v>
      </c>
      <c r="IC25" s="694"/>
      <c r="ID25" s="299" t="s">
        <v>2208</v>
      </c>
      <c r="IE25" s="341">
        <v>32</v>
      </c>
      <c r="IF25" s="481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1" t="s">
        <v>2392</v>
      </c>
      <c r="IM25" s="341">
        <v>4</v>
      </c>
      <c r="IO25" s="321"/>
      <c r="IP25" s="297" t="s">
        <v>2420</v>
      </c>
      <c r="IQ25" s="202">
        <v>88.51</v>
      </c>
      <c r="IR25" s="481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6"/>
      <c r="IY25" s="326"/>
      <c r="IZ25" s="506"/>
      <c r="JA25" s="328"/>
      <c r="JB25" s="299" t="s">
        <v>2309</v>
      </c>
      <c r="JC25" s="202">
        <f>17.98+13.67+17.8+15.37+10+15+12.85</f>
        <v>102.67</v>
      </c>
      <c r="JD25" s="326"/>
      <c r="JF25" s="513"/>
      <c r="JH25" s="297" t="s">
        <v>2636</v>
      </c>
      <c r="JI25" s="202">
        <v>20</v>
      </c>
      <c r="JJ25" s="326" t="s">
        <v>2408</v>
      </c>
      <c r="JN25" s="297" t="s">
        <v>2660</v>
      </c>
      <c r="JO25" s="202">
        <v>16.100000000000001</v>
      </c>
      <c r="JP25" s="326" t="s">
        <v>2408</v>
      </c>
      <c r="JQ25" s="259"/>
      <c r="JR25" s="415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6" t="s">
        <v>2361</v>
      </c>
      <c r="JW25" s="202"/>
      <c r="JZ25" s="299" t="s">
        <v>2811</v>
      </c>
      <c r="KA25" s="202">
        <v>219</v>
      </c>
      <c r="KB25" s="326"/>
      <c r="KC25" s="202"/>
      <c r="KF25" s="297" t="s">
        <v>2855</v>
      </c>
      <c r="KG25" s="336">
        <v>25.9</v>
      </c>
      <c r="KH25" s="320" t="s">
        <v>2670</v>
      </c>
      <c r="KI25" s="259" t="s">
        <v>2094</v>
      </c>
      <c r="KJ25" s="204" t="s">
        <v>2979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2667</v>
      </c>
      <c r="KO25" s="335">
        <v>1334</v>
      </c>
      <c r="KP25" s="521">
        <f>SUM(KQ21:KQ24)</f>
        <v>9265.4599999999991</v>
      </c>
      <c r="KQ25" s="538" t="s">
        <v>3125</v>
      </c>
      <c r="KR25" s="143" t="s">
        <v>1195</v>
      </c>
      <c r="KS25" s="202">
        <f>15+6.5</f>
        <v>21.5</v>
      </c>
      <c r="KT25" s="320" t="s">
        <v>2938</v>
      </c>
      <c r="KU25" s="259">
        <v>10</v>
      </c>
      <c r="KV25" s="204"/>
      <c r="KX25" s="143" t="s">
        <v>3079</v>
      </c>
      <c r="KY25" s="286">
        <v>176.15</v>
      </c>
      <c r="KZ25" s="285" t="s">
        <v>3048</v>
      </c>
      <c r="LA25" s="259">
        <v>90</v>
      </c>
      <c r="LB25" s="645" t="s">
        <v>3180</v>
      </c>
      <c r="LC25" s="644">
        <v>93</v>
      </c>
      <c r="LD25" s="143" t="s">
        <v>3159</v>
      </c>
      <c r="LE25" s="202">
        <v>30</v>
      </c>
      <c r="LF25" s="635" t="s">
        <v>2942</v>
      </c>
      <c r="LG25" s="259"/>
    </row>
    <row r="26" spans="1:321">
      <c r="A26" s="707"/>
      <c r="B26" s="707"/>
      <c r="F26" s="194"/>
      <c r="G26" s="707"/>
      <c r="H26" s="707"/>
      <c r="M26" s="711" t="s">
        <v>506</v>
      </c>
      <c r="N26" s="711"/>
      <c r="Q26" s="242" t="s">
        <v>1019</v>
      </c>
      <c r="R26" s="341">
        <v>0</v>
      </c>
      <c r="S26" s="711" t="s">
        <v>506</v>
      </c>
      <c r="T26" s="711"/>
      <c r="W26" s="143" t="s">
        <v>1051</v>
      </c>
      <c r="X26" s="341">
        <v>60.75</v>
      </c>
      <c r="Y26" s="707"/>
      <c r="Z26" s="707"/>
      <c r="AC26" s="218" t="s">
        <v>1092</v>
      </c>
      <c r="AD26" s="218"/>
      <c r="AE26" s="711" t="s">
        <v>506</v>
      </c>
      <c r="AF26" s="71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9"/>
      <c r="BW26" s="257" t="s">
        <v>1016</v>
      </c>
      <c r="BX26" s="204">
        <v>138.9</v>
      </c>
      <c r="BY26" s="197" t="s">
        <v>506</v>
      </c>
      <c r="BZ26" s="536"/>
      <c r="CC26" s="257" t="s">
        <v>1286</v>
      </c>
      <c r="CD26" s="204">
        <v>138.30000000000001</v>
      </c>
      <c r="CE26" s="197" t="s">
        <v>506</v>
      </c>
      <c r="CF26" s="536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6"/>
      <c r="CU26" s="264" t="s">
        <v>1356</v>
      </c>
      <c r="CV26" s="204">
        <f>16.33+8.5</f>
        <v>24.83</v>
      </c>
      <c r="CW26" s="534" t="s">
        <v>1353</v>
      </c>
      <c r="CX26" s="540" t="s">
        <v>1364</v>
      </c>
      <c r="DA26" s="269" t="s">
        <v>1384</v>
      </c>
      <c r="DB26" s="217">
        <v>43.31</v>
      </c>
      <c r="DC26" s="534" t="s">
        <v>1388</v>
      </c>
      <c r="DD26" s="534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79">
        <v>5000</v>
      </c>
      <c r="DS26" s="256" t="s">
        <v>1566</v>
      </c>
      <c r="DT26" s="261">
        <v>35</v>
      </c>
      <c r="DU26" s="218" t="s">
        <v>1493</v>
      </c>
      <c r="DV26" s="479">
        <v>5000</v>
      </c>
      <c r="DY26" s="535">
        <v>100</v>
      </c>
      <c r="DZ26" s="281">
        <f>DV12+DY26-EB11</f>
        <v>140</v>
      </c>
      <c r="EA26" s="218" t="s">
        <v>1496</v>
      </c>
      <c r="EB26" s="479">
        <v>5000</v>
      </c>
      <c r="EE26" s="218" t="s">
        <v>1620</v>
      </c>
      <c r="EF26" s="218"/>
      <c r="EG26" s="474"/>
      <c r="EH26" s="490" t="s">
        <v>1632</v>
      </c>
      <c r="EI26" s="490"/>
      <c r="EL26" s="297" t="s">
        <v>1651</v>
      </c>
      <c r="EM26" s="341">
        <v>9.9</v>
      </c>
      <c r="EN26" s="490" t="s">
        <v>1632</v>
      </c>
      <c r="EO26" s="490"/>
      <c r="ER26" s="541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701" t="s">
        <v>1536</v>
      </c>
      <c r="EY26" s="70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0" t="s">
        <v>1632</v>
      </c>
      <c r="HI26" s="333"/>
      <c r="HJ26" s="304" t="s">
        <v>1392</v>
      </c>
      <c r="HK26" s="341">
        <v>0</v>
      </c>
      <c r="HL26" s="542">
        <v>32.770000000000003</v>
      </c>
      <c r="HM26" s="217" t="s">
        <v>2160</v>
      </c>
      <c r="HN26" s="490" t="s">
        <v>1632</v>
      </c>
      <c r="HO26" s="333"/>
      <c r="HP26" s="694" t="s">
        <v>2135</v>
      </c>
      <c r="HQ26" s="694"/>
      <c r="HR26" s="297" t="s">
        <v>2192</v>
      </c>
      <c r="HS26" s="341">
        <v>10</v>
      </c>
      <c r="HT26" s="481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2">
        <f>11.74+10+9.21+17.04+10+12.34+15.71+10+15.63+10</f>
        <v>121.66999999999999</v>
      </c>
      <c r="IF26" s="204" t="s">
        <v>2285</v>
      </c>
      <c r="IG26" s="319"/>
      <c r="IH26" s="513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3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2935</v>
      </c>
      <c r="IW26" s="261">
        <f>2+59+11+23</f>
        <v>95</v>
      </c>
      <c r="IX26" s="326"/>
      <c r="IZ26" s="506"/>
      <c r="JA26" s="328"/>
      <c r="JB26" s="297" t="s">
        <v>2591</v>
      </c>
      <c r="JC26" s="202">
        <v>10</v>
      </c>
      <c r="JD26" s="481"/>
      <c r="JH26" s="297" t="s">
        <v>2619</v>
      </c>
      <c r="JI26" s="202">
        <v>30</v>
      </c>
      <c r="JJ26" s="326" t="s">
        <v>2361</v>
      </c>
      <c r="JL26" s="464" t="s">
        <v>2654</v>
      </c>
      <c r="JM26" s="464"/>
      <c r="JN26" s="297" t="s">
        <v>2774</v>
      </c>
      <c r="JO26" s="336">
        <v>42.9</v>
      </c>
      <c r="JP26" s="326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6"/>
      <c r="JW26" s="202"/>
      <c r="JZ26" s="299" t="s">
        <v>2908</v>
      </c>
      <c r="KA26" s="202">
        <v>30</v>
      </c>
      <c r="KB26" s="326" t="s">
        <v>2361</v>
      </c>
      <c r="KC26" s="202"/>
      <c r="KF26" s="297" t="s">
        <v>2865</v>
      </c>
      <c r="KG26" s="336">
        <v>63.1</v>
      </c>
      <c r="KH26" s="320" t="s">
        <v>2582</v>
      </c>
      <c r="KI26" s="259">
        <v>15</v>
      </c>
      <c r="KL26" s="297" t="s">
        <v>2970</v>
      </c>
      <c r="KM26" s="202">
        <f>80+115</f>
        <v>195</v>
      </c>
      <c r="KN26" s="490" t="s">
        <v>2995</v>
      </c>
      <c r="KO26" s="335"/>
      <c r="KP26" s="532"/>
      <c r="KQ26" s="545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6"/>
      <c r="KW26" s="605"/>
      <c r="KX26" s="143" t="s">
        <v>2460</v>
      </c>
      <c r="KY26" s="202">
        <v>62.98</v>
      </c>
      <c r="KZ26" s="481" t="s">
        <v>2390</v>
      </c>
      <c r="LA26" s="259">
        <v>1000</v>
      </c>
      <c r="LC26" s="621"/>
      <c r="LD26" s="143" t="s">
        <v>3160</v>
      </c>
      <c r="LE26" s="202">
        <v>250</v>
      </c>
      <c r="LF26" s="628" t="s">
        <v>2408</v>
      </c>
      <c r="LG26" s="202"/>
    </row>
    <row r="27" spans="1:321" ht="12.75" customHeight="1">
      <c r="A27" s="707"/>
      <c r="B27" s="707"/>
      <c r="E27" s="193" t="s">
        <v>360</v>
      </c>
      <c r="F27" s="194"/>
      <c r="G27" s="707"/>
      <c r="H27" s="707"/>
      <c r="K27" s="143" t="s">
        <v>1017</v>
      </c>
      <c r="L27" s="341">
        <f>60</f>
        <v>60</v>
      </c>
      <c r="M27" s="711" t="s">
        <v>992</v>
      </c>
      <c r="N27" s="711"/>
      <c r="Q27" s="242" t="s">
        <v>1073</v>
      </c>
      <c r="R27" s="204">
        <v>200</v>
      </c>
      <c r="S27" s="711" t="s">
        <v>992</v>
      </c>
      <c r="T27" s="711"/>
      <c r="W27" s="143" t="s">
        <v>1016</v>
      </c>
      <c r="X27" s="341">
        <v>61.35</v>
      </c>
      <c r="Y27" s="711" t="s">
        <v>506</v>
      </c>
      <c r="Z27" s="711"/>
      <c r="AC27" s="218" t="s">
        <v>1088</v>
      </c>
      <c r="AD27" s="218">
        <f>53+207+63</f>
        <v>323</v>
      </c>
      <c r="AE27" s="711" t="s">
        <v>992</v>
      </c>
      <c r="AF27" s="71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9"/>
      <c r="BW27" s="257" t="s">
        <v>1281</v>
      </c>
      <c r="BX27" s="204">
        <v>11</v>
      </c>
      <c r="BY27" s="197" t="s">
        <v>992</v>
      </c>
      <c r="BZ27" s="536"/>
      <c r="CC27" s="257" t="s">
        <v>1143</v>
      </c>
      <c r="CD27" s="204">
        <v>11</v>
      </c>
      <c r="CE27" s="197" t="s">
        <v>992</v>
      </c>
      <c r="CF27" s="536"/>
      <c r="CI27" s="257" t="s">
        <v>1308</v>
      </c>
      <c r="CJ27" s="204">
        <v>53.24</v>
      </c>
      <c r="CK27" s="197" t="s">
        <v>992</v>
      </c>
      <c r="CL27" s="536"/>
      <c r="CO27" s="257" t="s">
        <v>1014</v>
      </c>
      <c r="CP27" s="204">
        <v>100.001</v>
      </c>
      <c r="CQ27" s="197" t="s">
        <v>992</v>
      </c>
      <c r="CR27" s="536"/>
      <c r="CU27" s="264" t="s">
        <v>1369</v>
      </c>
      <c r="CV27" s="217">
        <f>72+11+5.8</f>
        <v>88.8</v>
      </c>
      <c r="CW27" s="534" t="s">
        <v>1357</v>
      </c>
      <c r="CX27" s="540" t="s">
        <v>1365</v>
      </c>
      <c r="DA27" s="269" t="s">
        <v>1379</v>
      </c>
      <c r="DB27" s="204">
        <v>60</v>
      </c>
      <c r="DC27" s="534"/>
      <c r="DD27" s="540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79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9">
        <v>5000</v>
      </c>
      <c r="DY27" s="537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1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701" t="s">
        <v>1746</v>
      </c>
      <c r="FE27" s="70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3" t="s">
        <v>2158</v>
      </c>
      <c r="HM27" s="544">
        <f>HI16+HK31-HO18</f>
        <v>240</v>
      </c>
      <c r="HN27" s="507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1" t="s">
        <v>1969</v>
      </c>
      <c r="HU27" s="341">
        <v>1000</v>
      </c>
      <c r="HV27" s="299" t="s">
        <v>2131</v>
      </c>
      <c r="HW27" s="512">
        <f>SUM(HY16:HY24)</f>
        <v>1033.9166666666667</v>
      </c>
      <c r="HX27" s="297" t="s">
        <v>2251</v>
      </c>
      <c r="HY27" s="341">
        <f>32.37+27.07</f>
        <v>59.44</v>
      </c>
      <c r="HZ27" s="481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3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3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3"/>
      <c r="JB27" s="297" t="s">
        <v>2596</v>
      </c>
      <c r="JC27" s="202">
        <v>7</v>
      </c>
      <c r="JD27" s="481"/>
      <c r="JF27" s="464" t="s">
        <v>2603</v>
      </c>
      <c r="JG27" s="464"/>
      <c r="JH27" s="297" t="s">
        <v>2638</v>
      </c>
      <c r="JI27" s="202">
        <f>55.72+65.82</f>
        <v>121.53999999999999</v>
      </c>
      <c r="JJ27" s="326" t="s">
        <v>2624</v>
      </c>
      <c r="JK27" s="341">
        <v>59.4</v>
      </c>
      <c r="JL27" s="192" t="s">
        <v>1928</v>
      </c>
      <c r="JM27" s="260">
        <f>SUM(JO6:JO7)</f>
        <v>2900.12</v>
      </c>
      <c r="JN27" s="297" t="s">
        <v>2691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6">
        <v>11</v>
      </c>
      <c r="JV27" s="326"/>
      <c r="JW27" s="202"/>
      <c r="JZ27" s="299" t="s">
        <v>2840</v>
      </c>
      <c r="KA27" s="274">
        <f>131.87*2</f>
        <v>263.74</v>
      </c>
      <c r="KB27" s="326"/>
      <c r="KC27" s="326"/>
      <c r="KF27" s="297" t="s">
        <v>2869</v>
      </c>
      <c r="KG27" s="336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20" t="s">
        <v>2938</v>
      </c>
      <c r="KO27" s="259">
        <v>12</v>
      </c>
      <c r="KQ27" s="396"/>
      <c r="KR27" s="143" t="s">
        <v>2309</v>
      </c>
      <c r="KS27" s="202">
        <f>10+18.51+10+16.63+15.78+16.9+10+16.2+16.87+10+10+20.2+10+10</f>
        <v>191.08999999999997</v>
      </c>
      <c r="KT27" s="481" t="s">
        <v>2390</v>
      </c>
      <c r="KU27" s="259">
        <v>1000</v>
      </c>
      <c r="KV27" s="606"/>
      <c r="KW27" s="605"/>
      <c r="KX27" s="143" t="s">
        <v>3017</v>
      </c>
      <c r="KY27" s="202">
        <v>30</v>
      </c>
      <c r="KZ27" s="341" t="s">
        <v>3141</v>
      </c>
      <c r="LA27" s="341">
        <f>240-15.97</f>
        <v>224.03</v>
      </c>
      <c r="LB27" s="648"/>
      <c r="LC27" s="648"/>
      <c r="LD27" s="143" t="s">
        <v>3152</v>
      </c>
      <c r="LE27" s="274">
        <v>151.85</v>
      </c>
      <c r="LF27" s="647" t="s">
        <v>3193</v>
      </c>
      <c r="LG27" s="259">
        <v>58.2</v>
      </c>
    </row>
    <row r="28" spans="1:321">
      <c r="A28" s="711" t="s">
        <v>506</v>
      </c>
      <c r="B28" s="711"/>
      <c r="E28" s="193" t="s">
        <v>282</v>
      </c>
      <c r="F28" s="194"/>
      <c r="G28" s="711" t="s">
        <v>506</v>
      </c>
      <c r="H28" s="711"/>
      <c r="K28" s="143" t="s">
        <v>1016</v>
      </c>
      <c r="L28" s="341">
        <v>0</v>
      </c>
      <c r="M28" s="713" t="s">
        <v>93</v>
      </c>
      <c r="N28" s="713"/>
      <c r="Q28" s="242" t="s">
        <v>1050</v>
      </c>
      <c r="R28" s="341">
        <v>0</v>
      </c>
      <c r="S28" s="713" t="s">
        <v>93</v>
      </c>
      <c r="T28" s="713"/>
      <c r="W28" s="143" t="s">
        <v>1015</v>
      </c>
      <c r="X28" s="341">
        <v>64</v>
      </c>
      <c r="Y28" s="711" t="s">
        <v>992</v>
      </c>
      <c r="Z28" s="711"/>
      <c r="AC28" s="218" t="s">
        <v>1089</v>
      </c>
      <c r="AD28" s="218">
        <f>63+46</f>
        <v>109</v>
      </c>
      <c r="AE28" s="713" t="s">
        <v>93</v>
      </c>
      <c r="AF28" s="71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4"/>
      <c r="DD28" s="540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9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5"/>
      <c r="EB28" s="546"/>
      <c r="EE28" s="218" t="s">
        <v>1642</v>
      </c>
      <c r="EF28" s="218"/>
      <c r="EG28" s="493"/>
      <c r="EL28" s="701" t="s">
        <v>1536</v>
      </c>
      <c r="EM28" s="70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1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2770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07" t="s">
        <v>2105</v>
      </c>
      <c r="HI28" s="506">
        <v>3179.26</v>
      </c>
      <c r="HJ28" s="302" t="s">
        <v>2131</v>
      </c>
      <c r="HK28" s="505">
        <f>SUM(HM10:HM18)</f>
        <v>1046.8376666666666</v>
      </c>
      <c r="HL28" s="547">
        <v>60</v>
      </c>
      <c r="HM28" s="537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3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3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2">
        <v>22.7</v>
      </c>
      <c r="IW28" s="274"/>
      <c r="IX28" s="326"/>
      <c r="IZ28" s="694" t="s">
        <v>2135</v>
      </c>
      <c r="JA28" s="694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6" t="s">
        <v>2625</v>
      </c>
      <c r="JK28" s="341">
        <v>75.599999999999994</v>
      </c>
      <c r="JL28" s="312" t="s">
        <v>2721</v>
      </c>
      <c r="JM28" s="260">
        <f>SUM(JO11:JO13)</f>
        <v>116477.65199999999</v>
      </c>
      <c r="JN28" s="341" t="s">
        <v>2932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2932</v>
      </c>
      <c r="JU28" s="261">
        <f>13</f>
        <v>13</v>
      </c>
      <c r="JV28" s="326"/>
      <c r="JW28" s="202"/>
      <c r="JZ28" s="299" t="s">
        <v>2828</v>
      </c>
      <c r="KA28" s="202">
        <f>(15+6.5)*2</f>
        <v>43</v>
      </c>
      <c r="KB28" s="326"/>
      <c r="KC28" s="326"/>
      <c r="KD28" s="464" t="s">
        <v>2654</v>
      </c>
      <c r="KE28" s="464"/>
      <c r="KF28" s="297" t="s">
        <v>2872</v>
      </c>
      <c r="KG28" s="336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6"/>
      <c r="KR28" s="297" t="s">
        <v>3083</v>
      </c>
      <c r="KS28" s="202">
        <v>60</v>
      </c>
      <c r="KT28" s="326" t="s">
        <v>2408</v>
      </c>
      <c r="KU28" s="202"/>
      <c r="KV28" s="608"/>
      <c r="KW28" s="607"/>
      <c r="KX28" s="143" t="s">
        <v>1195</v>
      </c>
      <c r="KY28" s="202">
        <f>6.5+15</f>
        <v>21.5</v>
      </c>
      <c r="KZ28" s="326" t="s">
        <v>2942</v>
      </c>
      <c r="LA28" s="202"/>
      <c r="LB28" s="648"/>
      <c r="LC28" s="648"/>
      <c r="LD28" s="143" t="s">
        <v>1195</v>
      </c>
      <c r="LE28" s="202">
        <f>8.6+15+6.5</f>
        <v>30.1</v>
      </c>
      <c r="LF28" s="628" t="s">
        <v>2361</v>
      </c>
      <c r="LG28" s="202"/>
    </row>
    <row r="29" spans="1:321">
      <c r="A29" s="711" t="s">
        <v>992</v>
      </c>
      <c r="B29" s="711"/>
      <c r="E29" s="193" t="s">
        <v>372</v>
      </c>
      <c r="F29" s="194"/>
      <c r="G29" s="711" t="s">
        <v>992</v>
      </c>
      <c r="H29" s="711"/>
      <c r="K29" s="143" t="s">
        <v>1015</v>
      </c>
      <c r="L29" s="341">
        <v>64</v>
      </c>
      <c r="M29" s="707" t="s">
        <v>385</v>
      </c>
      <c r="N29" s="707"/>
      <c r="S29" s="707" t="s">
        <v>385</v>
      </c>
      <c r="T29" s="707"/>
      <c r="W29" s="143" t="s">
        <v>1014</v>
      </c>
      <c r="X29" s="341">
        <v>100.01</v>
      </c>
      <c r="Y29" s="713" t="s">
        <v>93</v>
      </c>
      <c r="Z29" s="713"/>
      <c r="AC29" s="341" t="s">
        <v>1087</v>
      </c>
      <c r="AD29" s="341">
        <v>65</v>
      </c>
      <c r="AE29" s="707" t="s">
        <v>385</v>
      </c>
      <c r="AF29" s="70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9" t="s">
        <v>1079</v>
      </c>
      <c r="DM29" s="256" t="s">
        <v>1303</v>
      </c>
      <c r="DN29" s="261">
        <v>64</v>
      </c>
      <c r="DO29" s="485"/>
      <c r="DP29" s="546"/>
      <c r="DS29" s="269" t="s">
        <v>1586</v>
      </c>
      <c r="DT29" s="261">
        <v>10</v>
      </c>
      <c r="DU29" s="485"/>
      <c r="DV29" s="546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5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37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701" t="s">
        <v>1746</v>
      </c>
      <c r="FK29" s="70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0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47">
        <v>20</v>
      </c>
      <c r="HM29" s="537" t="s">
        <v>2087</v>
      </c>
      <c r="HN29" s="507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2777</v>
      </c>
      <c r="HY29" s="341">
        <f>22.3+42.9</f>
        <v>65.2</v>
      </c>
      <c r="HZ29" s="490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6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4" t="s">
        <v>2207</v>
      </c>
      <c r="IM29" s="548">
        <v>21.35</v>
      </c>
      <c r="IN29" s="506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2686</v>
      </c>
      <c r="IU29" s="341">
        <f>SUM(IW22:IW25)</f>
        <v>188.39</v>
      </c>
      <c r="IV29" s="543" t="s">
        <v>1411</v>
      </c>
      <c r="IW29" s="544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1" t="s">
        <v>506</v>
      </c>
      <c r="KD29" s="415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1" t="s">
        <v>2390</v>
      </c>
      <c r="KI29" s="259">
        <v>1000</v>
      </c>
      <c r="KL29" s="297" t="s">
        <v>2954</v>
      </c>
      <c r="KM29" s="202">
        <v>21.5</v>
      </c>
      <c r="KN29" s="481" t="s">
        <v>2390</v>
      </c>
      <c r="KO29" s="259">
        <v>1000</v>
      </c>
      <c r="KP29" s="498"/>
      <c r="KQ29" s="498"/>
      <c r="KR29" s="297" t="s">
        <v>3072</v>
      </c>
      <c r="KS29" s="202">
        <v>400.92</v>
      </c>
      <c r="KT29" s="481" t="s">
        <v>3039</v>
      </c>
      <c r="KU29" s="202">
        <v>1202.04</v>
      </c>
      <c r="KV29" s="608"/>
      <c r="KW29" s="607"/>
      <c r="KX29" s="143" t="s">
        <v>3121</v>
      </c>
      <c r="KY29" s="202">
        <v>57.3</v>
      </c>
      <c r="KZ29" s="326" t="s">
        <v>2408</v>
      </c>
      <c r="LA29" s="202"/>
      <c r="LB29" s="648"/>
      <c r="LC29" s="648"/>
      <c r="LD29" s="143" t="s">
        <v>3176</v>
      </c>
      <c r="LE29" s="202">
        <v>67.8</v>
      </c>
      <c r="LF29" s="640" t="s">
        <v>3203</v>
      </c>
      <c r="LG29" s="259">
        <f>52.8*2</f>
        <v>105.6</v>
      </c>
      <c r="LI29" s="446"/>
    </row>
    <row r="30" spans="1:321">
      <c r="A30" s="713" t="s">
        <v>93</v>
      </c>
      <c r="B30" s="713"/>
      <c r="E30" s="193" t="s">
        <v>1007</v>
      </c>
      <c r="F30" s="170"/>
      <c r="G30" s="713" t="s">
        <v>93</v>
      </c>
      <c r="H30" s="713"/>
      <c r="K30" s="143" t="s">
        <v>1014</v>
      </c>
      <c r="L30" s="341">
        <v>50.01</v>
      </c>
      <c r="M30" s="714" t="s">
        <v>1001</v>
      </c>
      <c r="N30" s="714"/>
      <c r="Q30" s="143" t="s">
        <v>1052</v>
      </c>
      <c r="R30" s="341">
        <v>26</v>
      </c>
      <c r="S30" s="714" t="s">
        <v>1001</v>
      </c>
      <c r="T30" s="714"/>
      <c r="Y30" s="707" t="s">
        <v>385</v>
      </c>
      <c r="Z30" s="707"/>
      <c r="AC30" s="341" t="s">
        <v>1090</v>
      </c>
      <c r="AD30" s="341">
        <v>10</v>
      </c>
      <c r="AE30" s="714" t="s">
        <v>1001</v>
      </c>
      <c r="AF30" s="714"/>
      <c r="AK30" s="490" t="s">
        <v>1001</v>
      </c>
      <c r="AL30" s="490" t="s">
        <v>1001</v>
      </c>
      <c r="AO30" s="143" t="s">
        <v>1015</v>
      </c>
      <c r="AP30" s="204">
        <v>32</v>
      </c>
      <c r="AQ30" s="490" t="s">
        <v>1001</v>
      </c>
      <c r="AR30" s="320"/>
      <c r="AU30" s="143" t="s">
        <v>1015</v>
      </c>
      <c r="AV30" s="204" t="s">
        <v>686</v>
      </c>
      <c r="AW30" s="490" t="s">
        <v>1001</v>
      </c>
      <c r="AX30" s="490"/>
      <c r="AY30" s="143"/>
      <c r="AZ30" s="204"/>
      <c r="BA30" s="490" t="s">
        <v>1001</v>
      </c>
      <c r="BB30" s="490"/>
      <c r="BE30" s="246" t="s">
        <v>1197</v>
      </c>
      <c r="BF30" s="341">
        <v>56.62</v>
      </c>
      <c r="BG30" s="490" t="s">
        <v>1001</v>
      </c>
      <c r="BH30" s="490"/>
      <c r="BK30" s="258" t="s">
        <v>1221</v>
      </c>
      <c r="BL30" s="217">
        <v>5</v>
      </c>
      <c r="BM30" s="490" t="s">
        <v>1001</v>
      </c>
      <c r="BN30" s="490"/>
      <c r="BQ30" s="258" t="s">
        <v>1237</v>
      </c>
      <c r="BR30" s="217">
        <v>20</v>
      </c>
      <c r="BS30" s="490" t="s">
        <v>1001</v>
      </c>
      <c r="BT30" s="549"/>
      <c r="BW30" s="258" t="s">
        <v>1237</v>
      </c>
      <c r="BX30" s="217">
        <v>15</v>
      </c>
      <c r="BY30" s="490" t="s">
        <v>1001</v>
      </c>
      <c r="BZ30" s="550"/>
      <c r="CC30" s="258" t="s">
        <v>1237</v>
      </c>
      <c r="CD30" s="217">
        <v>5</v>
      </c>
      <c r="CE30" s="490" t="s">
        <v>1001</v>
      </c>
      <c r="CF30" s="550"/>
      <c r="CI30" s="264" t="s">
        <v>1237</v>
      </c>
      <c r="CJ30" s="217">
        <f>10+5</f>
        <v>15</v>
      </c>
      <c r="CK30" s="490" t="s">
        <v>1001</v>
      </c>
      <c r="CL30" s="550"/>
      <c r="CO30" s="264" t="s">
        <v>1333</v>
      </c>
      <c r="CP30" s="217">
        <v>39</v>
      </c>
      <c r="CQ30" s="490" t="s">
        <v>1001</v>
      </c>
      <c r="CR30" s="550"/>
      <c r="CU30" s="264" t="s">
        <v>1371</v>
      </c>
      <c r="CV30" s="217">
        <v>46.9</v>
      </c>
      <c r="CW30" s="197" t="s">
        <v>992</v>
      </c>
      <c r="CX30" s="550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9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1" t="s">
        <v>1592</v>
      </c>
      <c r="EB30" s="501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0" t="s">
        <v>1632</v>
      </c>
      <c r="EU30" s="490"/>
      <c r="EX30" s="537" t="s">
        <v>1744</v>
      </c>
      <c r="EY30" s="309"/>
      <c r="EZ30" s="285" t="s">
        <v>1497</v>
      </c>
      <c r="FA30" s="319">
        <v>10000</v>
      </c>
      <c r="FD30" s="537" t="s">
        <v>1753</v>
      </c>
      <c r="FE30" s="309"/>
      <c r="FF30" s="285" t="s">
        <v>1497</v>
      </c>
      <c r="FG30" s="319">
        <v>15000</v>
      </c>
      <c r="FJ30" s="541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3" t="s">
        <v>1746</v>
      </c>
      <c r="FW30" s="543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0" t="s">
        <v>1632</v>
      </c>
      <c r="HC30" s="333"/>
      <c r="HF30" s="543" t="s">
        <v>1746</v>
      </c>
      <c r="HG30" s="218"/>
      <c r="HH30" s="507" t="s">
        <v>2103</v>
      </c>
      <c r="HI30" s="506">
        <v>258.44</v>
      </c>
      <c r="HJ30" s="297" t="s">
        <v>2635</v>
      </c>
      <c r="HK30" s="341">
        <f>SUM(HM20:HM23)</f>
        <v>255.57999999999998</v>
      </c>
      <c r="HL30" s="547">
        <v>60</v>
      </c>
      <c r="HM30" s="537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2635</v>
      </c>
      <c r="HW30" s="341">
        <f>SUM(HY26:HY30)</f>
        <v>251.94</v>
      </c>
      <c r="HX30" s="297" t="s">
        <v>2241</v>
      </c>
      <c r="HY30" s="341">
        <v>11</v>
      </c>
      <c r="HZ30" s="481" t="s">
        <v>2392</v>
      </c>
      <c r="IA30" s="341">
        <v>4</v>
      </c>
      <c r="IB30" s="299" t="s">
        <v>2131</v>
      </c>
      <c r="IC30" s="512">
        <f>SUM(IE18:IE26)</f>
        <v>1421.2533333333333</v>
      </c>
      <c r="ID30" s="297" t="s">
        <v>2305</v>
      </c>
      <c r="IE30" s="341">
        <v>62</v>
      </c>
      <c r="IF30" s="514" t="s">
        <v>2207</v>
      </c>
      <c r="IG30" s="548">
        <v>21.35</v>
      </c>
      <c r="IH30" s="506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6"/>
      <c r="IO30" s="328"/>
      <c r="IP30" s="297" t="s">
        <v>2457</v>
      </c>
      <c r="IQ30" s="202" t="s">
        <v>2458</v>
      </c>
      <c r="IR30" s="326"/>
      <c r="IT30" s="537" t="s">
        <v>2459</v>
      </c>
      <c r="IU30" s="541">
        <v>90</v>
      </c>
      <c r="IV30" s="547">
        <v>5</v>
      </c>
      <c r="IW30" s="552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2618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2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2">
        <v>24.07</v>
      </c>
      <c r="JU30" s="274"/>
      <c r="JZ30" s="299" t="s">
        <v>3036</v>
      </c>
      <c r="KA30" s="202">
        <f>64+30.9</f>
        <v>94.9</v>
      </c>
      <c r="KB30" s="341" t="s">
        <v>93</v>
      </c>
      <c r="KD30" s="312" t="s">
        <v>2980</v>
      </c>
      <c r="KE30" s="260">
        <f>SUM(KG8:KG10)</f>
        <v>203044.96999999997</v>
      </c>
      <c r="KF30" s="542">
        <v>34.15</v>
      </c>
      <c r="KG30" s="274"/>
      <c r="KH30" s="326" t="s">
        <v>2408</v>
      </c>
      <c r="KI30" s="202"/>
      <c r="KL30" s="297" t="s">
        <v>2962</v>
      </c>
      <c r="KM30" s="336">
        <v>44.55</v>
      </c>
      <c r="KN30" s="326" t="s">
        <v>2408</v>
      </c>
      <c r="KO30" s="202"/>
      <c r="KP30" s="532"/>
      <c r="KQ30" s="532"/>
      <c r="KR30" s="297" t="s">
        <v>3025</v>
      </c>
      <c r="KS30" s="202">
        <f>5+0.99</f>
        <v>5.99</v>
      </c>
      <c r="KT30" s="481" t="s">
        <v>3047</v>
      </c>
      <c r="KU30" s="202"/>
      <c r="KV30" s="608"/>
      <c r="KW30" s="607"/>
      <c r="KX30" s="143" t="s">
        <v>2674</v>
      </c>
      <c r="KY30" s="202">
        <f>14.32+9+9</f>
        <v>32.32</v>
      </c>
      <c r="KZ30" s="326" t="s">
        <v>2361</v>
      </c>
      <c r="LA30" s="202"/>
      <c r="LB30" s="648"/>
      <c r="LC30" s="648"/>
      <c r="LD30" s="143" t="s">
        <v>2674</v>
      </c>
      <c r="LE30" s="202">
        <f>14.32+18*2</f>
        <v>50.32</v>
      </c>
      <c r="LF30" s="629" t="s">
        <v>3210</v>
      </c>
      <c r="LG30" s="259"/>
    </row>
    <row r="31" spans="1:321" ht="12.75" customHeight="1">
      <c r="A31" s="707" t="s">
        <v>385</v>
      </c>
      <c r="B31" s="707"/>
      <c r="E31" s="170"/>
      <c r="F31" s="170"/>
      <c r="G31" s="707" t="s">
        <v>385</v>
      </c>
      <c r="H31" s="707"/>
      <c r="M31" s="710" t="s">
        <v>243</v>
      </c>
      <c r="N31" s="710"/>
      <c r="Q31" s="143" t="s">
        <v>1051</v>
      </c>
      <c r="R31" s="341">
        <v>55</v>
      </c>
      <c r="S31" s="710" t="s">
        <v>243</v>
      </c>
      <c r="T31" s="710"/>
      <c r="W31" s="241" t="s">
        <v>1072</v>
      </c>
      <c r="X31" s="241">
        <v>0</v>
      </c>
      <c r="Y31" s="714" t="s">
        <v>1001</v>
      </c>
      <c r="Z31" s="714"/>
      <c r="AE31" s="710" t="s">
        <v>243</v>
      </c>
      <c r="AF31" s="71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0"/>
      <c r="DE31" s="217" t="s">
        <v>1423</v>
      </c>
      <c r="DG31" s="256" t="s">
        <v>1195</v>
      </c>
      <c r="DH31" s="261">
        <v>13</v>
      </c>
      <c r="DI31" s="218" t="s">
        <v>1457</v>
      </c>
      <c r="DJ31" s="479">
        <v>5000</v>
      </c>
      <c r="DK31" s="204"/>
      <c r="DM31" s="269" t="s">
        <v>1488</v>
      </c>
      <c r="DN31" s="261">
        <v>5</v>
      </c>
      <c r="DO31" s="698" t="s">
        <v>1438</v>
      </c>
      <c r="DP31" s="698"/>
      <c r="DQ31" s="204"/>
      <c r="DS31" s="269" t="s">
        <v>1576</v>
      </c>
      <c r="DT31" s="261">
        <f>95+70</f>
        <v>165</v>
      </c>
      <c r="DU31" s="553" t="s">
        <v>1592</v>
      </c>
      <c r="DV31" s="554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37" t="s">
        <v>1719</v>
      </c>
      <c r="EY31" s="309"/>
      <c r="EZ31" s="285" t="s">
        <v>1696</v>
      </c>
      <c r="FA31" s="319">
        <f>7000+1000</f>
        <v>8000</v>
      </c>
      <c r="FD31" s="537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1">
        <v>100</v>
      </c>
      <c r="FW31" s="307">
        <f>FS11+FV31-FY16</f>
        <v>126</v>
      </c>
      <c r="FX31" s="490" t="s">
        <v>1632</v>
      </c>
      <c r="FY31" s="333"/>
      <c r="GB31" s="297" t="s">
        <v>1935</v>
      </c>
      <c r="GC31" s="341">
        <v>20</v>
      </c>
      <c r="GD31" s="490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0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1">
        <v>200</v>
      </c>
      <c r="HG31" s="543"/>
      <c r="HH31" s="507" t="s">
        <v>2103</v>
      </c>
      <c r="HI31" s="506">
        <v>23.05</v>
      </c>
      <c r="HJ31" s="537" t="s">
        <v>2159</v>
      </c>
      <c r="HK31" s="541">
        <v>300</v>
      </c>
      <c r="HL31" s="547">
        <v>45</v>
      </c>
      <c r="HM31" s="537" t="s">
        <v>1602</v>
      </c>
      <c r="HP31" s="299" t="s">
        <v>2131</v>
      </c>
      <c r="HQ31" s="512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1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48">
        <v>125.91</v>
      </c>
      <c r="IH31" s="506"/>
      <c r="II31" s="328"/>
      <c r="IJ31" s="297" t="s">
        <v>2380</v>
      </c>
      <c r="IK31" s="341">
        <f>22+32.4</f>
        <v>54.4</v>
      </c>
      <c r="IL31" s="326"/>
      <c r="IM31" s="333"/>
      <c r="IN31" s="513"/>
      <c r="IP31" s="297" t="s">
        <v>2434</v>
      </c>
      <c r="IQ31" s="202">
        <v>42.17</v>
      </c>
      <c r="IR31" s="326"/>
      <c r="IV31" s="547">
        <v>50</v>
      </c>
      <c r="IW31" s="552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3" t="s">
        <v>1411</v>
      </c>
      <c r="JO31" s="544">
        <f>JK22+JM35-JQ20</f>
        <v>770</v>
      </c>
      <c r="JQ31" s="259"/>
      <c r="JR31" s="297" t="s">
        <v>2858</v>
      </c>
      <c r="JS31" s="555">
        <f>SUM(JU24:JU27)</f>
        <v>169.60000000000002</v>
      </c>
      <c r="JT31" s="543" t="s">
        <v>1411</v>
      </c>
      <c r="JU31" s="544">
        <f>JQ20+JS34-JW19</f>
        <v>70</v>
      </c>
      <c r="JZ31" s="299" t="s">
        <v>2724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3" t="s">
        <v>1411</v>
      </c>
      <c r="KG31" s="544">
        <f>KC19+KE36-KI27</f>
        <v>190</v>
      </c>
      <c r="KH31" s="326" t="s">
        <v>2806</v>
      </c>
      <c r="KI31" s="202">
        <v>1.64</v>
      </c>
      <c r="KK31" s="285"/>
      <c r="KL31" s="297" t="s">
        <v>2649</v>
      </c>
      <c r="KM31" s="336">
        <v>57.86</v>
      </c>
      <c r="KN31" s="481" t="s">
        <v>2999</v>
      </c>
      <c r="KO31" s="202">
        <v>3.54</v>
      </c>
      <c r="KQ31" s="285"/>
      <c r="KR31" s="297" t="s">
        <v>3066</v>
      </c>
      <c r="KS31" s="202">
        <v>43.9</v>
      </c>
      <c r="KT31" s="326" t="s">
        <v>3064</v>
      </c>
      <c r="KU31" s="202">
        <v>95</v>
      </c>
      <c r="KV31" s="613"/>
      <c r="KW31" s="612"/>
      <c r="KX31" s="143" t="s">
        <v>2309</v>
      </c>
      <c r="KY31" s="202">
        <f>16.79+10+18.2+10+17.89+10+21.84+10.3+10+19.32+2.2+15.96+15</f>
        <v>177.5</v>
      </c>
      <c r="KZ31" s="615"/>
      <c r="LA31" s="202"/>
      <c r="LB31" s="641"/>
      <c r="LC31" s="641"/>
      <c r="LD31" s="143" t="s">
        <v>2309</v>
      </c>
      <c r="LE31" s="202">
        <f>15+16.38+16.09+15.91+10+16.16</f>
        <v>89.539999999999992</v>
      </c>
      <c r="LF31" s="643" t="s">
        <v>3205</v>
      </c>
      <c r="LG31" s="259">
        <v>1000</v>
      </c>
    </row>
    <row r="32" spans="1:321">
      <c r="A32" s="714" t="s">
        <v>1001</v>
      </c>
      <c r="B32" s="714"/>
      <c r="C32" s="244"/>
      <c r="D32" s="244"/>
      <c r="E32" s="244"/>
      <c r="F32" s="244"/>
      <c r="G32" s="714" t="s">
        <v>1001</v>
      </c>
      <c r="H32" s="714"/>
      <c r="K32" s="241" t="s">
        <v>1021</v>
      </c>
      <c r="L32" s="241"/>
      <c r="M32" s="712" t="s">
        <v>1034</v>
      </c>
      <c r="N32" s="712"/>
      <c r="Q32" s="143" t="s">
        <v>1016</v>
      </c>
      <c r="R32" s="341">
        <v>77.239999999999995</v>
      </c>
      <c r="S32" s="712" t="s">
        <v>1034</v>
      </c>
      <c r="T32" s="712"/>
      <c r="Y32" s="710" t="s">
        <v>243</v>
      </c>
      <c r="Z32" s="710"/>
      <c r="AC32" s="196" t="s">
        <v>1012</v>
      </c>
      <c r="AD32" s="341">
        <v>350</v>
      </c>
      <c r="AE32" s="712" t="s">
        <v>1034</v>
      </c>
      <c r="AF32" s="71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8" t="s">
        <v>1411</v>
      </c>
      <c r="DB32" s="70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9">
        <v>10000</v>
      </c>
      <c r="DM32" s="269" t="s">
        <v>1508</v>
      </c>
      <c r="DN32" s="261">
        <v>20</v>
      </c>
      <c r="DO32" s="534" t="s">
        <v>1502</v>
      </c>
      <c r="DP32" s="534"/>
      <c r="DS32" s="269" t="s">
        <v>1587</v>
      </c>
      <c r="DT32" s="261">
        <v>8.5</v>
      </c>
      <c r="DU32" s="557" t="s">
        <v>1591</v>
      </c>
      <c r="DV32" s="558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37" t="s">
        <v>1733</v>
      </c>
      <c r="EY32" s="309"/>
      <c r="EZ32" s="285" t="s">
        <v>1695</v>
      </c>
      <c r="FA32" s="319" t="s">
        <v>686</v>
      </c>
      <c r="FD32" s="537" t="s">
        <v>1769</v>
      </c>
      <c r="FE32" s="309"/>
      <c r="FF32" s="285" t="s">
        <v>1695</v>
      </c>
      <c r="FG32" s="319">
        <v>0</v>
      </c>
      <c r="FJ32" s="537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0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3" t="s">
        <v>1746</v>
      </c>
      <c r="GI32" s="543"/>
      <c r="GJ32" s="490" t="s">
        <v>1632</v>
      </c>
      <c r="GK32" s="333"/>
      <c r="GN32" s="297" t="s">
        <v>2007</v>
      </c>
      <c r="GO32" s="341">
        <v>10</v>
      </c>
      <c r="GP32" s="559" t="s">
        <v>1948</v>
      </c>
      <c r="GQ32" s="204">
        <v>35.1</v>
      </c>
      <c r="GT32" s="297" t="s">
        <v>2770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4" t="s">
        <v>2116</v>
      </c>
      <c r="HI32" s="513">
        <v>1580.64</v>
      </c>
      <c r="HK32" s="308"/>
      <c r="HL32" s="547">
        <v>5</v>
      </c>
      <c r="HM32" s="537" t="s">
        <v>2163</v>
      </c>
      <c r="HP32" s="299" t="s">
        <v>2203</v>
      </c>
      <c r="HQ32" s="512"/>
      <c r="HR32" s="542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2635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6"/>
      <c r="II32" s="328"/>
      <c r="IJ32" s="297" t="s">
        <v>2381</v>
      </c>
      <c r="IK32" s="341">
        <f>10.1+8+57.3+1.6</f>
        <v>77</v>
      </c>
      <c r="IL32" s="341" t="s">
        <v>506</v>
      </c>
      <c r="IN32" s="694" t="s">
        <v>2135</v>
      </c>
      <c r="IO32" s="694"/>
      <c r="IP32" s="297" t="s">
        <v>2453</v>
      </c>
      <c r="IQ32" s="202">
        <v>6.5</v>
      </c>
      <c r="IR32" s="341" t="s">
        <v>506</v>
      </c>
      <c r="IV32" s="547">
        <v>10</v>
      </c>
      <c r="IW32" s="552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2932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47">
        <v>60</v>
      </c>
      <c r="JO32" s="552" t="s">
        <v>1827</v>
      </c>
      <c r="JQ32" s="259"/>
      <c r="JT32" s="547">
        <v>30</v>
      </c>
      <c r="JU32" s="552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7">
        <v>10</v>
      </c>
      <c r="KG32" s="560" t="s">
        <v>2762</v>
      </c>
      <c r="KH32" s="326" t="s">
        <v>2863</v>
      </c>
      <c r="KI32" s="202"/>
      <c r="KL32" s="297" t="s">
        <v>2961</v>
      </c>
      <c r="KM32" s="336">
        <v>36.5</v>
      </c>
      <c r="KN32" s="341" t="s">
        <v>2964</v>
      </c>
      <c r="KO32" s="202">
        <v>58.2</v>
      </c>
      <c r="KR32" s="297" t="s">
        <v>3087</v>
      </c>
      <c r="KS32" s="202">
        <v>24.5</v>
      </c>
      <c r="KT32" s="326"/>
      <c r="KU32" s="202"/>
      <c r="KV32" s="625"/>
      <c r="KW32" s="624"/>
      <c r="KX32" s="297" t="s">
        <v>3123</v>
      </c>
      <c r="KY32" s="202">
        <v>40</v>
      </c>
      <c r="KZ32" s="616"/>
      <c r="LB32" s="641"/>
      <c r="LC32" s="641"/>
      <c r="LD32" s="297" t="s">
        <v>3194</v>
      </c>
      <c r="LE32" s="202">
        <v>40</v>
      </c>
      <c r="LF32" s="653"/>
    </row>
    <row r="33" spans="1:320">
      <c r="A33" s="710" t="s">
        <v>243</v>
      </c>
      <c r="B33" s="710"/>
      <c r="E33" s="187" t="s">
        <v>368</v>
      </c>
      <c r="F33" s="170"/>
      <c r="G33" s="710" t="s">
        <v>243</v>
      </c>
      <c r="H33" s="71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12" t="s">
        <v>1034</v>
      </c>
      <c r="Z33" s="71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0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9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4" t="s">
        <v>1588</v>
      </c>
      <c r="DV33" s="534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37" t="s">
        <v>1732</v>
      </c>
      <c r="EY33" s="309"/>
      <c r="EZ33" s="490" t="s">
        <v>1632</v>
      </c>
      <c r="FA33" s="333" t="s">
        <v>686</v>
      </c>
      <c r="FD33" s="537" t="s">
        <v>1670</v>
      </c>
      <c r="FE33" s="218"/>
      <c r="FF33" s="490" t="s">
        <v>1632</v>
      </c>
      <c r="FG33" s="333" t="s">
        <v>686</v>
      </c>
      <c r="FJ33" s="537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37" t="s">
        <v>1827</v>
      </c>
      <c r="FW33" s="309"/>
      <c r="FX33" s="326"/>
      <c r="FY33" s="333"/>
      <c r="GB33" s="543" t="s">
        <v>1746</v>
      </c>
      <c r="GC33" s="543"/>
      <c r="GD33" s="326"/>
      <c r="GE33" s="333"/>
      <c r="GH33" s="541">
        <v>100</v>
      </c>
      <c r="GI33" s="307">
        <f>GE16+GH33-GK17</f>
        <v>70</v>
      </c>
      <c r="GJ33" s="559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3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1">
        <v>35</v>
      </c>
      <c r="HG33" s="316" t="s">
        <v>2089</v>
      </c>
      <c r="HH33" s="514" t="s">
        <v>2134</v>
      </c>
      <c r="HI33" s="513">
        <v>6.1</v>
      </c>
      <c r="HL33" s="547">
        <v>17</v>
      </c>
      <c r="HM33" s="537" t="s">
        <v>2156</v>
      </c>
      <c r="HP33" s="297" t="s">
        <v>2129</v>
      </c>
      <c r="HQ33" s="341">
        <f>SUM(HS24:HS29)</f>
        <v>160.6</v>
      </c>
      <c r="HR33" s="543" t="s">
        <v>2175</v>
      </c>
      <c r="HS33" s="544">
        <f>HO18+HQ36-HU24</f>
        <v>100</v>
      </c>
      <c r="HT33" s="490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6"/>
      <c r="II33" s="328"/>
      <c r="IJ33" s="297" t="s">
        <v>2771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2935</v>
      </c>
      <c r="IQ33" s="261">
        <v>40</v>
      </c>
      <c r="IR33" s="341" t="s">
        <v>93</v>
      </c>
      <c r="IU33" s="491"/>
      <c r="IV33" s="489" t="s">
        <v>2505</v>
      </c>
      <c r="IW33" s="495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2909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2686</v>
      </c>
      <c r="JM33" s="259">
        <f>SUM(JO23:JO27)</f>
        <v>251.23</v>
      </c>
      <c r="JN33" s="547">
        <v>40</v>
      </c>
      <c r="JO33" s="552" t="s">
        <v>2657</v>
      </c>
      <c r="JQ33" s="259"/>
      <c r="JT33" s="547">
        <v>10</v>
      </c>
      <c r="JU33" s="552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7">
        <v>70</v>
      </c>
      <c r="KG33" s="552" t="s">
        <v>1827</v>
      </c>
      <c r="KH33" s="326" t="s">
        <v>2870</v>
      </c>
      <c r="KI33" s="336">
        <v>52.8</v>
      </c>
      <c r="KL33" s="297" t="s">
        <v>2989</v>
      </c>
      <c r="KM33" s="336">
        <v>50.1</v>
      </c>
      <c r="KN33" s="326" t="s">
        <v>2975</v>
      </c>
      <c r="KO33" s="202">
        <v>16.3</v>
      </c>
      <c r="KR33" s="297" t="s">
        <v>3067</v>
      </c>
      <c r="KS33" s="336">
        <v>48.11</v>
      </c>
      <c r="KT33" s="326"/>
      <c r="KU33" s="202"/>
      <c r="KV33" s="625"/>
      <c r="KW33" s="624"/>
      <c r="KX33" s="297" t="s">
        <v>3108</v>
      </c>
      <c r="KY33" s="202">
        <v>10</v>
      </c>
      <c r="KZ33" s="601"/>
      <c r="LA33" s="202"/>
      <c r="LB33" s="641"/>
      <c r="LC33" s="641"/>
      <c r="LD33" s="297" t="s">
        <v>3177</v>
      </c>
      <c r="LE33" s="202">
        <f>530+3</f>
        <v>533</v>
      </c>
      <c r="LF33" s="628" t="s">
        <v>3012</v>
      </c>
    </row>
    <row r="34" spans="1:320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0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9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37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37" t="s">
        <v>1916</v>
      </c>
      <c r="FW34" s="309"/>
      <c r="FX34" s="326"/>
      <c r="FY34" s="333"/>
      <c r="GB34" s="541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1">
        <v>280</v>
      </c>
      <c r="GU34" s="543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1">
        <v>40</v>
      </c>
      <c r="HG34" s="537" t="s">
        <v>2087</v>
      </c>
      <c r="HL34" s="547">
        <v>6</v>
      </c>
      <c r="HM34" s="537" t="s">
        <v>2144</v>
      </c>
      <c r="HP34" s="297" t="s">
        <v>2635</v>
      </c>
      <c r="HR34" s="547">
        <v>4</v>
      </c>
      <c r="HS34" s="537" t="s">
        <v>2205</v>
      </c>
      <c r="HT34" s="507"/>
      <c r="HU34" s="333"/>
      <c r="HX34" s="542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6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1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2">
        <v>23.04</v>
      </c>
      <c r="JI34" s="274"/>
      <c r="JJ34" s="341" t="s">
        <v>1034</v>
      </c>
      <c r="JN34" s="547">
        <v>50</v>
      </c>
      <c r="JO34" s="552" t="s">
        <v>2648</v>
      </c>
      <c r="JR34" s="309" t="s">
        <v>2725</v>
      </c>
      <c r="JS34" s="541">
        <v>100</v>
      </c>
      <c r="JT34" s="547">
        <v>10</v>
      </c>
      <c r="JU34" s="552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7">
        <v>45</v>
      </c>
      <c r="KG34" s="552" t="s">
        <v>2178</v>
      </c>
      <c r="KH34" s="326" t="s">
        <v>2879</v>
      </c>
      <c r="KI34" s="341">
        <v>104</v>
      </c>
      <c r="KL34" s="297" t="s">
        <v>2997</v>
      </c>
      <c r="KM34" s="336">
        <v>121.7</v>
      </c>
      <c r="KN34" s="326" t="s">
        <v>2976</v>
      </c>
      <c r="KO34" s="202">
        <v>52.8</v>
      </c>
      <c r="KR34" s="297" t="s">
        <v>3068</v>
      </c>
      <c r="KS34" s="336">
        <v>60.23</v>
      </c>
      <c r="KT34" s="326"/>
      <c r="KU34" s="202"/>
      <c r="KV34" s="613"/>
      <c r="KW34" s="612"/>
      <c r="KX34" s="297" t="s">
        <v>3107</v>
      </c>
      <c r="KY34" s="202">
        <v>13.5</v>
      </c>
      <c r="KZ34" s="326" t="s">
        <v>3012</v>
      </c>
      <c r="LD34" s="297" t="s">
        <v>3183</v>
      </c>
      <c r="LE34" s="202">
        <v>42.9</v>
      </c>
      <c r="LF34" s="628" t="s">
        <v>3181</v>
      </c>
    </row>
    <row r="35" spans="1:320" ht="14.25" customHeight="1">
      <c r="A35" s="716"/>
      <c r="B35" s="716"/>
      <c r="E35" s="172" t="s">
        <v>403</v>
      </c>
      <c r="F35" s="170">
        <v>250</v>
      </c>
      <c r="G35" s="716"/>
      <c r="H35" s="71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9">
        <v>5000</v>
      </c>
      <c r="DM35" s="269"/>
      <c r="DN35" s="261"/>
      <c r="DO35" s="197" t="s">
        <v>1541</v>
      </c>
      <c r="DP35" s="550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37" t="s">
        <v>1909</v>
      </c>
      <c r="FW35" s="309"/>
      <c r="FX35" s="341" t="s">
        <v>506</v>
      </c>
      <c r="GB35" s="309" t="s">
        <v>1922</v>
      </c>
      <c r="GC35" s="309"/>
      <c r="GH35" s="537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1">
        <v>40</v>
      </c>
      <c r="HG35" s="537" t="s">
        <v>2112</v>
      </c>
      <c r="HH35" s="341" t="s">
        <v>506</v>
      </c>
      <c r="HL35" s="507" t="s">
        <v>2121</v>
      </c>
      <c r="HM35" s="493">
        <v>24.7</v>
      </c>
      <c r="HQ35" s="308"/>
      <c r="HR35" s="547">
        <v>40</v>
      </c>
      <c r="HS35" s="537" t="s">
        <v>2087</v>
      </c>
      <c r="HT35" s="507"/>
      <c r="HU35" s="333"/>
      <c r="HV35" s="537" t="s">
        <v>2224</v>
      </c>
      <c r="HW35" s="541">
        <v>220</v>
      </c>
      <c r="HX35" s="543" t="s">
        <v>1411</v>
      </c>
      <c r="HY35" s="544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6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2">
        <v>44.08</v>
      </c>
      <c r="IQ35" s="274"/>
      <c r="IR35" s="341" t="s">
        <v>1673</v>
      </c>
      <c r="IU35" s="562"/>
      <c r="IV35" s="326" t="s">
        <v>2488</v>
      </c>
      <c r="IW35" s="336">
        <v>23.08</v>
      </c>
      <c r="IZ35" s="297" t="s">
        <v>2686</v>
      </c>
      <c r="JA35" s="259">
        <f>SUM(JC28:JC34)</f>
        <v>337.85099999999994</v>
      </c>
      <c r="JB35" s="341" t="s">
        <v>2936</v>
      </c>
      <c r="JC35" s="261">
        <v>16.87</v>
      </c>
      <c r="JH35" s="543" t="s">
        <v>1411</v>
      </c>
      <c r="JI35" s="544">
        <f>JE21+JG37-JK22</f>
        <v>100</v>
      </c>
      <c r="JL35" s="537" t="s">
        <v>2685</v>
      </c>
      <c r="JM35" s="541">
        <f>50+400+200+100</f>
        <v>750</v>
      </c>
      <c r="JN35" s="547">
        <v>9</v>
      </c>
      <c r="JO35" s="552" t="s">
        <v>2647</v>
      </c>
      <c r="JP35" s="341" t="s">
        <v>506</v>
      </c>
      <c r="JT35" s="547">
        <v>10</v>
      </c>
      <c r="JU35" s="552" t="s">
        <v>2711</v>
      </c>
      <c r="JZ35" s="297" t="s">
        <v>2809</v>
      </c>
      <c r="KA35" s="336">
        <v>10</v>
      </c>
      <c r="KD35" s="297" t="s">
        <v>2858</v>
      </c>
      <c r="KE35" s="555">
        <f>SUM(KG22:KG28)</f>
        <v>339.56</v>
      </c>
      <c r="KF35" s="547">
        <v>30</v>
      </c>
      <c r="KG35" s="552" t="s">
        <v>2856</v>
      </c>
      <c r="KH35" s="326" t="s">
        <v>2361</v>
      </c>
      <c r="KJ35" s="464" t="s">
        <v>2654</v>
      </c>
      <c r="KK35" s="464"/>
      <c r="KL35" s="341" t="s">
        <v>2941</v>
      </c>
      <c r="KM35" s="261">
        <v>400</v>
      </c>
      <c r="KN35" s="326" t="s">
        <v>2977</v>
      </c>
      <c r="KO35" s="202">
        <v>57.6</v>
      </c>
      <c r="KP35" s="464" t="s">
        <v>2654</v>
      </c>
      <c r="KQ35" s="464"/>
      <c r="KR35" s="297" t="s">
        <v>3074</v>
      </c>
      <c r="KS35" s="336">
        <v>40.4</v>
      </c>
      <c r="KT35" s="326" t="s">
        <v>3012</v>
      </c>
      <c r="KV35" s="612"/>
      <c r="KW35" s="612"/>
      <c r="KX35" s="297" t="s">
        <v>3124</v>
      </c>
      <c r="KY35" s="202">
        <f>12.5+36</f>
        <v>48.5</v>
      </c>
      <c r="KZ35" s="326" t="s">
        <v>3098</v>
      </c>
      <c r="LA35" s="285"/>
      <c r="LD35" s="297" t="s">
        <v>3184</v>
      </c>
      <c r="LE35" s="202">
        <v>36.9</v>
      </c>
      <c r="LF35" s="624" t="s">
        <v>506</v>
      </c>
      <c r="LH35" s="202"/>
    </row>
    <row r="36" spans="1:320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5" t="s">
        <v>1409</v>
      </c>
      <c r="DN36" s="275">
        <f>DJ16+DM38-DP13</f>
        <v>169.99999999999997</v>
      </c>
      <c r="DO36" s="197" t="s">
        <v>992</v>
      </c>
      <c r="DP36" s="261"/>
      <c r="DS36" s="703" t="s">
        <v>1536</v>
      </c>
      <c r="DT36" s="704"/>
      <c r="DU36" s="197" t="s">
        <v>1541</v>
      </c>
      <c r="DV36" s="550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3082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37" t="s">
        <v>1827</v>
      </c>
      <c r="GC36" s="309"/>
      <c r="GH36" s="537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3">
        <v>71.8</v>
      </c>
      <c r="GU36" s="537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1">
        <v>50</v>
      </c>
      <c r="HG36" s="537" t="s">
        <v>1827</v>
      </c>
      <c r="HH36" s="341" t="s">
        <v>1673</v>
      </c>
      <c r="HL36" s="507" t="s">
        <v>2153</v>
      </c>
      <c r="HM36" s="564">
        <v>20760</v>
      </c>
      <c r="HP36" s="537" t="s">
        <v>2188</v>
      </c>
      <c r="HQ36" s="541">
        <v>100</v>
      </c>
      <c r="HR36" s="547">
        <v>20</v>
      </c>
      <c r="HS36" s="537" t="s">
        <v>2177</v>
      </c>
      <c r="HT36" s="514"/>
      <c r="HU36" s="333"/>
      <c r="HX36" s="547">
        <v>140</v>
      </c>
      <c r="HY36" s="537" t="s">
        <v>2248</v>
      </c>
      <c r="HZ36" s="285" t="s">
        <v>1639</v>
      </c>
      <c r="IA36" s="319">
        <v>4000</v>
      </c>
      <c r="IC36" s="491"/>
      <c r="ID36" s="341" t="s">
        <v>2162</v>
      </c>
      <c r="IE36" s="204">
        <v>52</v>
      </c>
      <c r="IH36" s="506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3" t="s">
        <v>1411</v>
      </c>
      <c r="IQ36" s="469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47">
        <v>8</v>
      </c>
      <c r="JI36" s="552" t="s">
        <v>2602</v>
      </c>
      <c r="JN36" s="547">
        <v>10</v>
      </c>
      <c r="JO36" s="552" t="s">
        <v>2658</v>
      </c>
      <c r="JP36" s="341" t="s">
        <v>93</v>
      </c>
      <c r="JS36" s="491"/>
      <c r="JT36" s="341" t="s">
        <v>2734</v>
      </c>
      <c r="JU36" s="336">
        <v>139</v>
      </c>
      <c r="JZ36" s="297" t="s">
        <v>2785</v>
      </c>
      <c r="KA36" s="202">
        <f>45.73</f>
        <v>45.73</v>
      </c>
      <c r="KD36" s="309" t="s">
        <v>2871</v>
      </c>
      <c r="KE36" s="565">
        <v>100</v>
      </c>
      <c r="KF36" s="547">
        <v>6</v>
      </c>
      <c r="KG36" s="552" t="s">
        <v>2854</v>
      </c>
      <c r="KH36" s="326" t="s">
        <v>2889</v>
      </c>
      <c r="KI36" s="259">
        <v>194</v>
      </c>
      <c r="KJ36" s="447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2942</v>
      </c>
      <c r="KO36" s="202"/>
      <c r="KP36" s="447" t="s">
        <v>1928</v>
      </c>
      <c r="KQ36" s="260">
        <f>SUM(KS6:KS7)</f>
        <v>3900.1099999999997</v>
      </c>
      <c r="KR36" s="297" t="s">
        <v>3070</v>
      </c>
      <c r="KS36" s="336">
        <f>30.8+1.8+1</f>
        <v>33.6</v>
      </c>
      <c r="KT36" s="326" t="s">
        <v>3011</v>
      </c>
      <c r="KU36" s="285"/>
      <c r="KV36" s="613"/>
      <c r="KW36" s="612"/>
      <c r="KX36" s="297" t="s">
        <v>3113</v>
      </c>
      <c r="KY36" s="202">
        <f>20+22+11+15+9+9</f>
        <v>86</v>
      </c>
      <c r="KZ36" s="326" t="s">
        <v>2670</v>
      </c>
      <c r="LD36" s="297" t="s">
        <v>3202</v>
      </c>
      <c r="LE36" s="336">
        <v>12</v>
      </c>
      <c r="LF36" s="624" t="s">
        <v>3021</v>
      </c>
      <c r="LH36" s="202"/>
    </row>
    <row r="37" spans="1:320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5"/>
      <c r="DJ37" s="546"/>
      <c r="DM37" s="463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59" t="s">
        <v>1800</v>
      </c>
      <c r="FK37" s="285">
        <v>26.29</v>
      </c>
      <c r="FL37" s="490" t="s">
        <v>1632</v>
      </c>
      <c r="FM37" s="333"/>
      <c r="FP37" s="543" t="s">
        <v>1746</v>
      </c>
      <c r="FQ37" s="543"/>
      <c r="FR37" s="341" t="s">
        <v>1673</v>
      </c>
      <c r="FV37" s="559" t="s">
        <v>1872</v>
      </c>
      <c r="FW37" s="204">
        <v>127.1</v>
      </c>
      <c r="FX37" s="341" t="s">
        <v>93</v>
      </c>
      <c r="GB37" s="537" t="s">
        <v>1920</v>
      </c>
      <c r="GC37" s="309"/>
      <c r="GH37" s="537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1">
        <v>80</v>
      </c>
      <c r="GU37" s="537" t="s">
        <v>1827</v>
      </c>
      <c r="GV37" s="341" t="s">
        <v>1034</v>
      </c>
      <c r="GZ37" s="297" t="s">
        <v>1404</v>
      </c>
      <c r="HA37" s="341">
        <v>49.98</v>
      </c>
      <c r="HF37" s="507" t="s">
        <v>2104</v>
      </c>
      <c r="HG37" s="474">
        <v>3000</v>
      </c>
      <c r="HH37" s="341" t="s">
        <v>93</v>
      </c>
      <c r="HL37" s="507"/>
      <c r="HM37" s="493"/>
      <c r="HR37" s="547">
        <v>20</v>
      </c>
      <c r="HS37" s="537" t="s">
        <v>2178</v>
      </c>
      <c r="HT37" s="514"/>
      <c r="HU37" s="333"/>
      <c r="HX37" s="547">
        <v>40</v>
      </c>
      <c r="HY37" s="537" t="s">
        <v>1827</v>
      </c>
      <c r="HZ37" s="326" t="s">
        <v>2206</v>
      </c>
      <c r="IA37" s="333"/>
      <c r="IC37" s="491"/>
      <c r="ID37" s="217" t="s">
        <v>2161</v>
      </c>
      <c r="IE37" s="217">
        <v>453</v>
      </c>
      <c r="IH37" s="506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7">
        <v>399</v>
      </c>
      <c r="IQ37" s="552" t="s">
        <v>2413</v>
      </c>
      <c r="IV37" s="326" t="s">
        <v>2504</v>
      </c>
      <c r="IW37" s="336">
        <v>104.35</v>
      </c>
      <c r="JB37" s="542">
        <v>23.85</v>
      </c>
      <c r="JC37" s="274"/>
      <c r="JF37" s="537" t="s">
        <v>2620</v>
      </c>
      <c r="JG37" s="541">
        <v>200</v>
      </c>
      <c r="JH37" s="547">
        <v>8</v>
      </c>
      <c r="JI37" s="552" t="s">
        <v>2605</v>
      </c>
      <c r="JN37" s="547">
        <v>192.7</v>
      </c>
      <c r="JO37" s="552" t="s">
        <v>2684</v>
      </c>
      <c r="JP37" s="341" t="s">
        <v>1034</v>
      </c>
      <c r="JS37" s="491"/>
      <c r="JT37" s="413" t="s">
        <v>2745</v>
      </c>
      <c r="JU37" s="414">
        <v>5.35</v>
      </c>
      <c r="JZ37" s="297" t="s">
        <v>2791</v>
      </c>
      <c r="KA37" s="336">
        <v>33.03</v>
      </c>
      <c r="KF37" s="547">
        <v>25.9</v>
      </c>
      <c r="KG37" s="552" t="s">
        <v>2881</v>
      </c>
      <c r="KJ37" s="312" t="s">
        <v>2986</v>
      </c>
      <c r="KK37" s="260">
        <f>SUM(KM14:KM17)</f>
        <v>53578.656000000003</v>
      </c>
      <c r="KL37" s="542">
        <v>40.25</v>
      </c>
      <c r="KM37" s="274"/>
      <c r="KN37" s="326" t="s">
        <v>2361</v>
      </c>
      <c r="KO37" s="202"/>
      <c r="KP37" s="312" t="s">
        <v>2986</v>
      </c>
      <c r="KQ37" s="260">
        <f>SUM(KS17:KS17)</f>
        <v>1223.29</v>
      </c>
      <c r="KR37" s="297" t="s">
        <v>3088</v>
      </c>
      <c r="KS37" s="336">
        <f>7.5+7.5</f>
        <v>15</v>
      </c>
      <c r="KT37" s="326" t="s">
        <v>3086</v>
      </c>
      <c r="KX37" s="297" t="s">
        <v>3132</v>
      </c>
      <c r="KY37" s="202">
        <v>707.68</v>
      </c>
      <c r="KZ37" s="341" t="s">
        <v>506</v>
      </c>
      <c r="LB37" s="622" t="s">
        <v>2654</v>
      </c>
      <c r="LC37" s="622"/>
      <c r="LD37" s="297" t="s">
        <v>3188</v>
      </c>
      <c r="LE37" s="336">
        <f>34.12+23.77</f>
        <v>57.89</v>
      </c>
      <c r="LF37" s="624" t="s">
        <v>3020</v>
      </c>
      <c r="LH37" s="202"/>
    </row>
    <row r="38" spans="1:320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59" t="s">
        <v>1618</v>
      </c>
      <c r="FK38" s="204">
        <v>87.09</v>
      </c>
      <c r="FL38" s="326" t="s">
        <v>1758</v>
      </c>
      <c r="FM38" s="261">
        <v>30</v>
      </c>
      <c r="FP38" s="541">
        <v>210</v>
      </c>
      <c r="FQ38" s="307">
        <f>FM10+FP38-FS11</f>
        <v>144</v>
      </c>
      <c r="FR38" s="341" t="s">
        <v>93</v>
      </c>
      <c r="FV38" s="559" t="s">
        <v>1886</v>
      </c>
      <c r="FW38" s="204">
        <v>8.5299999999999994</v>
      </c>
      <c r="FX38" s="341" t="s">
        <v>1149</v>
      </c>
      <c r="GB38" s="537" t="s">
        <v>1923</v>
      </c>
      <c r="GC38" s="309"/>
      <c r="GH38" s="559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1">
        <v>5</v>
      </c>
      <c r="GU38" s="537" t="s">
        <v>2052</v>
      </c>
      <c r="GZ38" s="297" t="s">
        <v>2078</v>
      </c>
      <c r="HA38" s="341">
        <f>36.3+3.2+61.6</f>
        <v>101.1</v>
      </c>
      <c r="HB38" s="341" t="s">
        <v>506</v>
      </c>
      <c r="HF38" s="507" t="s">
        <v>2096</v>
      </c>
      <c r="HG38" s="474">
        <v>17367.45</v>
      </c>
      <c r="HH38" s="341" t="s">
        <v>1149</v>
      </c>
      <c r="HR38" s="507" t="s">
        <v>2185</v>
      </c>
      <c r="HS38" s="564">
        <v>9.9</v>
      </c>
      <c r="HT38" s="341" t="s">
        <v>506</v>
      </c>
      <c r="HX38" s="547">
        <v>40</v>
      </c>
      <c r="HY38" s="537" t="s">
        <v>2247</v>
      </c>
      <c r="HZ38" s="514" t="s">
        <v>2207</v>
      </c>
      <c r="IA38" s="548">
        <v>21.35</v>
      </c>
      <c r="IC38" s="562"/>
      <c r="ID38" s="542">
        <v>28.33</v>
      </c>
      <c r="IE38" s="217"/>
      <c r="IH38" s="513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7">
        <v>35</v>
      </c>
      <c r="IQ38" s="552" t="s">
        <v>2405</v>
      </c>
      <c r="IV38" s="326" t="s">
        <v>2504</v>
      </c>
      <c r="IW38" s="336">
        <v>51.81</v>
      </c>
      <c r="IZ38" s="537" t="s">
        <v>2555</v>
      </c>
      <c r="JA38" s="541">
        <v>200</v>
      </c>
      <c r="JB38" s="543" t="s">
        <v>1411</v>
      </c>
      <c r="JC38" s="544">
        <f>IY20+JA38-JE21</f>
        <v>260</v>
      </c>
      <c r="JH38" s="547">
        <v>70</v>
      </c>
      <c r="JI38" s="552" t="s">
        <v>1827</v>
      </c>
      <c r="JN38" s="547">
        <v>18</v>
      </c>
      <c r="JO38" s="552" t="s">
        <v>2651</v>
      </c>
      <c r="JT38" s="407" t="s">
        <v>2704</v>
      </c>
      <c r="JU38" s="406">
        <v>2.2000000000000002</v>
      </c>
      <c r="JZ38" s="297" t="s">
        <v>2760</v>
      </c>
      <c r="KA38" s="202">
        <f>48.9</f>
        <v>48.9</v>
      </c>
      <c r="KF38" s="566" t="s">
        <v>2873</v>
      </c>
      <c r="KG38" s="495">
        <v>70</v>
      </c>
      <c r="KJ38" s="448" t="s">
        <v>2974</v>
      </c>
      <c r="KK38" s="259">
        <v>0</v>
      </c>
      <c r="KL38" s="543" t="s">
        <v>1411</v>
      </c>
      <c r="KM38" s="544">
        <f>KI27+KK45-KO28</f>
        <v>270</v>
      </c>
      <c r="KN38" s="326"/>
      <c r="KO38" s="202"/>
      <c r="KP38" s="301" t="s">
        <v>2981</v>
      </c>
      <c r="KQ38" s="259">
        <f>SUM(KS8:KS13)</f>
        <v>1643.11</v>
      </c>
      <c r="KR38" s="341" t="s">
        <v>2941</v>
      </c>
      <c r="KS38" s="261">
        <v>40</v>
      </c>
      <c r="KT38" s="326" t="s">
        <v>2670</v>
      </c>
      <c r="KW38" s="285"/>
      <c r="KX38" s="297" t="s">
        <v>3112</v>
      </c>
      <c r="KY38" s="202">
        <f>1264.52+12.65</f>
        <v>1277.17</v>
      </c>
      <c r="KZ38" s="341" t="s">
        <v>3021</v>
      </c>
      <c r="LB38" s="447" t="s">
        <v>1928</v>
      </c>
      <c r="LC38" s="260">
        <f>SUM(LE6:LE8)</f>
        <v>9900.01</v>
      </c>
      <c r="LD38" s="297" t="s">
        <v>3189</v>
      </c>
      <c r="LE38" s="336">
        <f>7.5*2+38.7</f>
        <v>53.7</v>
      </c>
      <c r="LF38" s="624" t="s">
        <v>3019</v>
      </c>
      <c r="LH38" s="202"/>
    </row>
    <row r="39" spans="1:320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98" t="s">
        <v>1438</v>
      </c>
      <c r="DJ39" s="69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59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59" t="s">
        <v>1901</v>
      </c>
      <c r="FW39" s="204">
        <v>184</v>
      </c>
      <c r="FX39" s="341" t="s">
        <v>1034</v>
      </c>
      <c r="GB39" s="537" t="s">
        <v>1933</v>
      </c>
      <c r="GC39" s="309"/>
      <c r="GH39" s="559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1">
        <v>20</v>
      </c>
      <c r="GU39" s="537" t="s">
        <v>2055</v>
      </c>
      <c r="GZ39" s="297" t="s">
        <v>2145</v>
      </c>
      <c r="HA39" s="341">
        <v>84.3</v>
      </c>
      <c r="HB39" s="341" t="s">
        <v>1673</v>
      </c>
      <c r="HF39" s="507" t="s">
        <v>2110</v>
      </c>
      <c r="HG39" s="493">
        <v>88</v>
      </c>
      <c r="HH39" s="341" t="s">
        <v>1034</v>
      </c>
      <c r="HL39" s="507"/>
      <c r="HM39" s="493"/>
      <c r="HR39" s="507" t="s">
        <v>2197</v>
      </c>
      <c r="HS39" s="493">
        <v>10.57</v>
      </c>
      <c r="HT39" s="341" t="s">
        <v>93</v>
      </c>
      <c r="HX39" s="547">
        <v>40</v>
      </c>
      <c r="HY39" s="537" t="s">
        <v>2221</v>
      </c>
      <c r="HZ39" s="326" t="s">
        <v>2223</v>
      </c>
      <c r="IA39" s="333">
        <v>125.91</v>
      </c>
      <c r="ID39" s="543" t="s">
        <v>1411</v>
      </c>
      <c r="IE39" s="544">
        <f>IA28+IC42-IG23</f>
        <v>175</v>
      </c>
      <c r="IH39" s="513"/>
      <c r="IJ39" s="543" t="s">
        <v>1411</v>
      </c>
      <c r="IK39" s="544">
        <f>IG23+II50-IM23</f>
        <v>230</v>
      </c>
      <c r="IN39" s="297" t="s">
        <v>2635</v>
      </c>
      <c r="IO39" s="259">
        <f>SUM(IQ25:IQ32)</f>
        <v>303.81</v>
      </c>
      <c r="IP39" s="547">
        <v>7.9</v>
      </c>
      <c r="IQ39" s="552" t="s">
        <v>2406</v>
      </c>
      <c r="IV39" s="326" t="s">
        <v>2504</v>
      </c>
      <c r="IW39" s="336">
        <v>28.77</v>
      </c>
      <c r="IZ39" s="474"/>
      <c r="JA39" s="567"/>
      <c r="JB39" s="547">
        <v>130</v>
      </c>
      <c r="JC39" s="552" t="s">
        <v>2527</v>
      </c>
      <c r="JH39" s="547">
        <v>10</v>
      </c>
      <c r="JI39" s="552" t="s">
        <v>2617</v>
      </c>
      <c r="JM39" s="491"/>
      <c r="JN39" s="547">
        <v>10</v>
      </c>
      <c r="JO39" s="218" t="s">
        <v>2652</v>
      </c>
      <c r="JS39" s="568" t="s">
        <v>2746</v>
      </c>
      <c r="JT39" s="407" t="s">
        <v>2723</v>
      </c>
      <c r="JU39" s="406">
        <v>89.39</v>
      </c>
      <c r="JX39" s="464" t="s">
        <v>2654</v>
      </c>
      <c r="JY39" s="464"/>
      <c r="JZ39" s="297" t="s">
        <v>2769</v>
      </c>
      <c r="KA39" s="336">
        <v>31</v>
      </c>
      <c r="KF39" s="569" t="s">
        <v>2910</v>
      </c>
      <c r="KG39" s="341">
        <v>324</v>
      </c>
      <c r="KH39" s="341" t="s">
        <v>506</v>
      </c>
      <c r="KJ39" s="301" t="s">
        <v>2981</v>
      </c>
      <c r="KK39" s="259">
        <f>SUM(KM7:KM9)</f>
        <v>1201.5700000000002</v>
      </c>
      <c r="KL39" s="547">
        <v>40</v>
      </c>
      <c r="KM39" s="560" t="s">
        <v>2178</v>
      </c>
      <c r="KN39" s="326"/>
      <c r="KO39" s="202"/>
      <c r="KP39" s="254" t="s">
        <v>2982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3161</v>
      </c>
      <c r="KY39" s="336">
        <v>31.96</v>
      </c>
      <c r="KZ39" s="341" t="s">
        <v>3020</v>
      </c>
      <c r="LB39" s="312" t="s">
        <v>2986</v>
      </c>
      <c r="LC39" s="260">
        <f>SUM(LE20:LE21)</f>
        <v>11479</v>
      </c>
      <c r="LD39" s="297" t="s">
        <v>3191</v>
      </c>
      <c r="LE39" s="336">
        <v>32.5</v>
      </c>
      <c r="LF39" s="621" t="s">
        <v>2957</v>
      </c>
      <c r="LH39" s="202"/>
    </row>
    <row r="40" spans="1:320">
      <c r="Q40" s="197"/>
      <c r="AO40" s="246"/>
      <c r="DC40" s="265"/>
      <c r="DG40" s="269"/>
      <c r="DH40" s="261"/>
      <c r="DI40" s="570"/>
      <c r="DJ40" s="570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9"/>
      <c r="FK40" s="285"/>
      <c r="FL40" s="326"/>
      <c r="FM40" s="333"/>
      <c r="FP40" s="309"/>
      <c r="FQ40" s="309"/>
      <c r="FV40" s="559"/>
      <c r="FW40" s="204"/>
      <c r="GB40" s="537" t="s">
        <v>1934</v>
      </c>
      <c r="GC40" s="309"/>
      <c r="GH40" s="559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1">
        <v>6</v>
      </c>
      <c r="GU40" s="537" t="s">
        <v>2053</v>
      </c>
      <c r="GV40" s="341" t="s">
        <v>478</v>
      </c>
      <c r="GZ40" s="297"/>
      <c r="HB40" s="341" t="s">
        <v>93</v>
      </c>
      <c r="HF40" s="507" t="s">
        <v>2097</v>
      </c>
      <c r="HG40" s="493">
        <v>9.2200000000000006</v>
      </c>
      <c r="HR40" s="507"/>
      <c r="HS40" s="493"/>
      <c r="HX40" s="547">
        <v>20</v>
      </c>
      <c r="HY40" s="537" t="s">
        <v>2244</v>
      </c>
      <c r="ID40" s="547">
        <v>70</v>
      </c>
      <c r="IE40" s="537" t="s">
        <v>2178</v>
      </c>
      <c r="IH40" s="694" t="s">
        <v>2135</v>
      </c>
      <c r="II40" s="694"/>
      <c r="IJ40" s="547">
        <v>20</v>
      </c>
      <c r="IK40" s="537" t="s">
        <v>2349</v>
      </c>
      <c r="IN40" s="537" t="s">
        <v>2448</v>
      </c>
      <c r="IO40" s="541">
        <f>100+400+100+100</f>
        <v>700</v>
      </c>
      <c r="IP40" s="547">
        <v>6</v>
      </c>
      <c r="IQ40" s="552" t="s">
        <v>2178</v>
      </c>
      <c r="IV40" s="514"/>
      <c r="IW40" s="336"/>
      <c r="JA40" s="491"/>
      <c r="JB40" s="547">
        <v>30</v>
      </c>
      <c r="JC40" s="552" t="s">
        <v>2558</v>
      </c>
      <c r="JH40" s="547">
        <v>12</v>
      </c>
      <c r="JI40" s="552" t="s">
        <v>2621</v>
      </c>
      <c r="JM40" s="491"/>
      <c r="JN40" s="547">
        <f>86*3+96</f>
        <v>354</v>
      </c>
      <c r="JO40" s="218" t="s">
        <v>2653</v>
      </c>
      <c r="JT40" s="405" t="s">
        <v>2705</v>
      </c>
      <c r="JU40" s="406">
        <f>69.93+136.83</f>
        <v>206.76000000000002</v>
      </c>
      <c r="JX40" s="415" t="s">
        <v>1928</v>
      </c>
      <c r="JY40" s="260">
        <f>SUM(KA6:KA9)</f>
        <v>7797.6799999999994</v>
      </c>
      <c r="JZ40" s="297" t="s">
        <v>2795</v>
      </c>
      <c r="KA40" s="336">
        <v>13.15</v>
      </c>
      <c r="KF40" s="234" t="s">
        <v>2857</v>
      </c>
      <c r="KG40" s="341">
        <v>39.700000000000003</v>
      </c>
      <c r="KH40" s="341" t="s">
        <v>93</v>
      </c>
      <c r="KJ40" s="254" t="s">
        <v>2982</v>
      </c>
      <c r="KK40" s="332">
        <f>SUM(KM10:KM13)</f>
        <v>451.43999999999994</v>
      </c>
      <c r="KL40" s="547">
        <v>6</v>
      </c>
      <c r="KM40" s="552" t="s">
        <v>2949</v>
      </c>
      <c r="KN40" s="341" t="s">
        <v>506</v>
      </c>
      <c r="KP40" s="450" t="s">
        <v>2836</v>
      </c>
      <c r="KQ40" s="259">
        <f>SUM(KS18:KS27)</f>
        <v>1009.24</v>
      </c>
      <c r="KR40" s="542">
        <v>25.54</v>
      </c>
      <c r="KS40" s="274"/>
      <c r="KT40" s="341" t="s">
        <v>3021</v>
      </c>
      <c r="KX40" s="297" t="s">
        <v>3139</v>
      </c>
      <c r="KY40" s="202">
        <f>21.3+22.3</f>
        <v>43.6</v>
      </c>
      <c r="KZ40" s="341" t="s">
        <v>3019</v>
      </c>
      <c r="LB40" s="448" t="s">
        <v>2974</v>
      </c>
      <c r="LC40" s="259">
        <f>SUM(LE9:LE12)</f>
        <v>3622.06</v>
      </c>
      <c r="LD40" s="297" t="s">
        <v>1862</v>
      </c>
      <c r="LE40" s="202"/>
      <c r="LH40" s="202"/>
    </row>
    <row r="41" spans="1:320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4" t="s">
        <v>1486</v>
      </c>
      <c r="DJ41" s="534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37" t="s">
        <v>1857</v>
      </c>
      <c r="FQ41" s="309"/>
      <c r="FR41" s="341" t="s">
        <v>1034</v>
      </c>
      <c r="FV41" s="559" t="s">
        <v>1907</v>
      </c>
      <c r="FW41" s="204">
        <v>80</v>
      </c>
      <c r="GB41" s="474"/>
      <c r="GC41" s="493"/>
      <c r="GH41" s="559"/>
      <c r="GI41" s="204"/>
      <c r="GN41" s="297"/>
      <c r="GP41" s="326"/>
      <c r="GQ41" s="333"/>
      <c r="GT41" s="561"/>
      <c r="GU41" s="537"/>
      <c r="GZ41" s="543" t="s">
        <v>1746</v>
      </c>
      <c r="HA41" s="218"/>
      <c r="HF41" s="507"/>
      <c r="HG41" s="493"/>
      <c r="HR41" s="507" t="s">
        <v>2217</v>
      </c>
      <c r="HS41" s="493">
        <v>65.7</v>
      </c>
      <c r="HX41" s="547"/>
      <c r="HY41" s="537"/>
      <c r="ID41" s="547"/>
      <c r="IE41" s="537"/>
      <c r="IH41" s="464"/>
      <c r="II41" s="464"/>
      <c r="IJ41" s="547"/>
      <c r="IK41" s="537"/>
      <c r="IN41" s="474"/>
      <c r="IO41" s="567"/>
      <c r="IP41" s="547"/>
      <c r="IQ41" s="552"/>
      <c r="IV41" s="514"/>
      <c r="IW41" s="336"/>
      <c r="JA41" s="491"/>
      <c r="JB41" s="547"/>
      <c r="JC41" s="552"/>
      <c r="JH41" s="571"/>
      <c r="JI41" s="506"/>
      <c r="JM41" s="491"/>
      <c r="JN41" s="514" t="s">
        <v>2645</v>
      </c>
      <c r="JO41" s="336">
        <v>7.5</v>
      </c>
      <c r="JT41" s="407" t="s">
        <v>2716</v>
      </c>
      <c r="JU41" s="406">
        <v>18.8</v>
      </c>
      <c r="JX41" s="312" t="s">
        <v>2980</v>
      </c>
      <c r="JY41" s="260">
        <f>SUM(KA20:KA23)</f>
        <v>6114.74</v>
      </c>
      <c r="JZ41" s="297" t="s">
        <v>2792</v>
      </c>
      <c r="KA41" s="336">
        <v>38.200000000000003</v>
      </c>
      <c r="KE41" s="285"/>
      <c r="KF41" s="572" t="s">
        <v>2504</v>
      </c>
      <c r="KG41" s="446">
        <v>110.1</v>
      </c>
      <c r="KJ41" s="450" t="s">
        <v>2836</v>
      </c>
      <c r="KK41" s="259">
        <f>SUM(KM18:KM25)</f>
        <v>714.36400000000003</v>
      </c>
      <c r="KL41" s="547">
        <v>10</v>
      </c>
      <c r="KM41" s="552" t="s">
        <v>2948</v>
      </c>
      <c r="KN41" s="713" t="s">
        <v>2957</v>
      </c>
      <c r="KO41" s="713"/>
      <c r="KP41" s="297" t="s">
        <v>2129</v>
      </c>
      <c r="KQ41" s="259">
        <f>SUM(KS28:KS37)</f>
        <v>732.65</v>
      </c>
      <c r="KR41" s="543" t="s">
        <v>1411</v>
      </c>
      <c r="KS41" s="544">
        <f>KO28+KQ44-KU26</f>
        <v>110</v>
      </c>
      <c r="KT41" s="341" t="s">
        <v>3020</v>
      </c>
      <c r="KX41" s="297" t="s">
        <v>3140</v>
      </c>
      <c r="KY41" s="202">
        <f>42.17+45.14</f>
        <v>87.31</v>
      </c>
      <c r="KZ41" s="285" t="s">
        <v>2957</v>
      </c>
      <c r="LB41" s="301" t="s">
        <v>2981</v>
      </c>
      <c r="LC41" s="259">
        <f>SUM(LE13:LE17)</f>
        <v>825.89</v>
      </c>
      <c r="LD41" s="217" t="s">
        <v>2161</v>
      </c>
      <c r="LE41" s="274">
        <f>386</f>
        <v>386</v>
      </c>
      <c r="LF41" s="624" t="s">
        <v>2955</v>
      </c>
      <c r="LH41" s="202"/>
    </row>
    <row r="42" spans="1:320">
      <c r="K42" s="196"/>
      <c r="AO42" s="246"/>
      <c r="DG42" s="269"/>
      <c r="DH42" s="261"/>
      <c r="DI42" s="534"/>
      <c r="DJ42" s="534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37"/>
      <c r="FQ42" s="309"/>
      <c r="FV42" s="559"/>
      <c r="FW42" s="204"/>
      <c r="GB42" s="204" t="s">
        <v>1921</v>
      </c>
      <c r="GC42" s="341">
        <v>80</v>
      </c>
      <c r="GH42" s="559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1">
        <v>6</v>
      </c>
      <c r="GU42" s="537" t="s">
        <v>2072</v>
      </c>
      <c r="GV42" s="265"/>
      <c r="GZ42" s="543"/>
      <c r="HA42" s="218"/>
      <c r="HB42" s="341" t="s">
        <v>1149</v>
      </c>
      <c r="HF42" s="447" t="s">
        <v>2127</v>
      </c>
      <c r="HG42" s="447">
        <v>440</v>
      </c>
      <c r="HR42" s="507"/>
      <c r="HS42" s="493"/>
      <c r="HX42" s="547">
        <v>45</v>
      </c>
      <c r="HY42" s="537" t="s">
        <v>2243</v>
      </c>
      <c r="IB42" s="537" t="s">
        <v>2274</v>
      </c>
      <c r="IC42" s="541">
        <v>205</v>
      </c>
      <c r="ID42" s="547">
        <v>15</v>
      </c>
      <c r="IE42" s="537" t="s">
        <v>2260</v>
      </c>
      <c r="IH42" s="305" t="s">
        <v>1928</v>
      </c>
      <c r="II42" s="260">
        <f>SUM(IK7:IK9)</f>
        <v>1946.12</v>
      </c>
      <c r="IJ42" s="547">
        <v>40</v>
      </c>
      <c r="IK42" s="537" t="s">
        <v>2325</v>
      </c>
      <c r="IP42" s="547">
        <v>30</v>
      </c>
      <c r="IQ42" s="552" t="s">
        <v>2410</v>
      </c>
      <c r="IV42" s="514"/>
      <c r="IW42" s="336"/>
      <c r="JA42" s="562"/>
      <c r="JB42" s="547">
        <v>30</v>
      </c>
      <c r="JC42" s="552" t="s">
        <v>2541</v>
      </c>
      <c r="JG42" s="491"/>
      <c r="JH42" s="326" t="s">
        <v>2604</v>
      </c>
      <c r="JI42" s="336">
        <v>751</v>
      </c>
      <c r="JM42" s="562"/>
      <c r="JN42" s="514" t="s">
        <v>1386</v>
      </c>
      <c r="JO42" s="336">
        <v>15.79</v>
      </c>
      <c r="JT42" s="407" t="s">
        <v>2709</v>
      </c>
      <c r="JU42" s="406">
        <v>89.8</v>
      </c>
      <c r="JX42" s="304" t="s">
        <v>1392</v>
      </c>
      <c r="JY42" s="259">
        <f>KA10</f>
        <v>5.99</v>
      </c>
      <c r="JZ42" s="297" t="s">
        <v>2794</v>
      </c>
      <c r="KA42" s="336">
        <v>10.5</v>
      </c>
      <c r="KE42" s="285"/>
      <c r="KF42" s="234" t="s">
        <v>2867</v>
      </c>
      <c r="KG42" s="341">
        <v>81.84</v>
      </c>
      <c r="KJ42" s="297" t="s">
        <v>2129</v>
      </c>
      <c r="KK42" s="259">
        <f>SUM(KM26:KM34)</f>
        <v>587.2700000000001</v>
      </c>
      <c r="KL42" s="547">
        <v>6</v>
      </c>
      <c r="KM42" s="552" t="s">
        <v>2947</v>
      </c>
      <c r="KP42" s="297" t="s">
        <v>2858</v>
      </c>
      <c r="KQ42" s="555">
        <f>SUM(KS30:KS37)</f>
        <v>271.73</v>
      </c>
      <c r="KR42" s="547">
        <v>45</v>
      </c>
      <c r="KS42" s="560" t="s">
        <v>2178</v>
      </c>
      <c r="KT42" s="341" t="s">
        <v>3019</v>
      </c>
      <c r="KV42" s="464" t="s">
        <v>2654</v>
      </c>
      <c r="KW42" s="464"/>
      <c r="KX42" s="297" t="s">
        <v>3138</v>
      </c>
      <c r="KY42" s="202">
        <f>26.4+39.9</f>
        <v>66.3</v>
      </c>
      <c r="LB42" s="254" t="s">
        <v>2982</v>
      </c>
      <c r="LC42" s="332">
        <f>SUM(LE18:LE19)</f>
        <v>135.16</v>
      </c>
      <c r="LD42" s="542">
        <v>20.03</v>
      </c>
      <c r="LE42" s="274"/>
      <c r="LF42" s="624" t="s">
        <v>2956</v>
      </c>
      <c r="LH42" s="202"/>
    </row>
    <row r="43" spans="1:320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4" t="s">
        <v>1443</v>
      </c>
      <c r="DJ43" s="540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37" t="s">
        <v>1827</v>
      </c>
      <c r="FQ43" s="309"/>
      <c r="FV43" s="559" t="s">
        <v>1913</v>
      </c>
      <c r="FW43" s="204">
        <v>4.5999999999999996</v>
      </c>
      <c r="GB43" s="204"/>
      <c r="GH43" s="559"/>
      <c r="GI43" s="204"/>
      <c r="GN43" s="297"/>
      <c r="GP43" s="326"/>
      <c r="GQ43" s="333"/>
      <c r="GT43" s="561"/>
      <c r="GU43" s="537"/>
      <c r="GV43" s="265"/>
      <c r="GZ43" s="541">
        <v>50</v>
      </c>
      <c r="HA43" s="543"/>
      <c r="HF43" s="447"/>
      <c r="HG43" s="447"/>
      <c r="HR43" s="507" t="s">
        <v>2176</v>
      </c>
      <c r="HS43" s="493">
        <v>2.54</v>
      </c>
      <c r="HX43" s="571"/>
      <c r="HY43" s="474"/>
      <c r="IB43" s="474"/>
      <c r="IC43" s="567"/>
      <c r="ID43" s="547"/>
      <c r="IE43" s="537"/>
      <c r="IH43" s="305"/>
      <c r="II43" s="260"/>
      <c r="IJ43" s="547"/>
      <c r="IK43" s="537"/>
      <c r="IP43" s="547"/>
      <c r="IQ43" s="552"/>
      <c r="IV43" s="514"/>
      <c r="IW43" s="336"/>
      <c r="JA43" s="562"/>
      <c r="JB43" s="547"/>
      <c r="JC43" s="552"/>
      <c r="JG43" s="491"/>
      <c r="JH43" s="326"/>
      <c r="JI43" s="336"/>
      <c r="JN43" s="514"/>
      <c r="JO43" s="336"/>
      <c r="JT43" s="407" t="s">
        <v>1557</v>
      </c>
      <c r="JU43" s="406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1">
        <v>37.700000000000003</v>
      </c>
      <c r="KJ43" s="297" t="s">
        <v>2858</v>
      </c>
      <c r="KK43" s="555">
        <f>SUM(KM28:KM34)</f>
        <v>362.27</v>
      </c>
      <c r="KL43" s="547">
        <v>100</v>
      </c>
      <c r="KM43" s="552" t="s">
        <v>2945</v>
      </c>
      <c r="KN43" s="341" t="s">
        <v>2955</v>
      </c>
      <c r="KR43" s="547">
        <v>12.4</v>
      </c>
      <c r="KS43" s="552" t="s">
        <v>3027</v>
      </c>
      <c r="KT43" s="285" t="s">
        <v>2957</v>
      </c>
      <c r="KV43" s="447" t="s">
        <v>1928</v>
      </c>
      <c r="KW43" s="260">
        <f>SUM(KY6:KY7)</f>
        <v>1950.12</v>
      </c>
      <c r="KX43" s="297" t="s">
        <v>3162</v>
      </c>
      <c r="KY43" s="202">
        <v>6</v>
      </c>
      <c r="KZ43" s="341" t="s">
        <v>2955</v>
      </c>
      <c r="LB43" s="450" t="s">
        <v>2836</v>
      </c>
      <c r="LC43" s="259">
        <f>SUM(LE22:LE31)</f>
        <v>1053.5300000000002</v>
      </c>
      <c r="LD43" s="543" t="s">
        <v>1411</v>
      </c>
      <c r="LE43" s="544">
        <f>LA25+LC47-LG23</f>
        <v>130</v>
      </c>
      <c r="LH43" s="202"/>
    </row>
    <row r="44" spans="1:320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4" t="s">
        <v>1480</v>
      </c>
      <c r="DJ44" s="540" t="s">
        <v>1481</v>
      </c>
      <c r="DL44" s="204"/>
      <c r="DM44" s="216" t="s">
        <v>1514</v>
      </c>
      <c r="DN44" s="276"/>
      <c r="DO44" s="285"/>
      <c r="DP44" s="501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37" t="s">
        <v>1829</v>
      </c>
      <c r="FQ44" s="309"/>
      <c r="GB44" s="559" t="s">
        <v>1925</v>
      </c>
      <c r="GC44" s="204">
        <v>11</v>
      </c>
      <c r="GH44" s="559" t="s">
        <v>1956</v>
      </c>
      <c r="GI44" s="204">
        <v>43</v>
      </c>
      <c r="GJ44" s="341" t="s">
        <v>1149</v>
      </c>
      <c r="GN44" s="543" t="s">
        <v>1746</v>
      </c>
      <c r="GO44" s="218"/>
      <c r="GP44" s="341" t="s">
        <v>1673</v>
      </c>
      <c r="GT44" s="561">
        <v>30</v>
      </c>
      <c r="GU44" s="537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3">
        <v>29.54</v>
      </c>
      <c r="HX44" s="507" t="s">
        <v>2219</v>
      </c>
      <c r="HY44" s="493">
        <v>98.89</v>
      </c>
      <c r="HZ44" s="341" t="s">
        <v>506</v>
      </c>
      <c r="ID44" s="547">
        <v>10</v>
      </c>
      <c r="IE44" s="537" t="s">
        <v>2293</v>
      </c>
      <c r="IH44" s="243" t="s">
        <v>1929</v>
      </c>
      <c r="II44" s="260">
        <f>SUM(IK14:IK15)</f>
        <v>1933.7466666666667</v>
      </c>
      <c r="IJ44" s="547">
        <v>10</v>
      </c>
      <c r="IK44" s="537" t="s">
        <v>2348</v>
      </c>
      <c r="IP44" s="547">
        <v>20</v>
      </c>
      <c r="IQ44" s="552" t="s">
        <v>2443</v>
      </c>
      <c r="IV44" s="514"/>
      <c r="IW44" s="336"/>
      <c r="JB44" s="547">
        <v>13</v>
      </c>
      <c r="JC44" s="552" t="s">
        <v>2570</v>
      </c>
      <c r="JG44" s="491"/>
      <c r="JH44" s="326" t="s">
        <v>1618</v>
      </c>
      <c r="JI44" s="336">
        <v>12.34</v>
      </c>
      <c r="JN44" s="326" t="s">
        <v>2689</v>
      </c>
      <c r="JO44" s="336">
        <v>13.3</v>
      </c>
      <c r="JT44" s="408" t="s">
        <v>2504</v>
      </c>
      <c r="JU44" s="409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6">
        <v>26.5</v>
      </c>
      <c r="KE44" s="285"/>
      <c r="KF44" s="234" t="s">
        <v>2852</v>
      </c>
      <c r="KG44" s="341">
        <v>35.25</v>
      </c>
      <c r="KL44" s="547">
        <v>9</v>
      </c>
      <c r="KM44" s="552" t="s">
        <v>2946</v>
      </c>
      <c r="KN44" s="341" t="s">
        <v>2956</v>
      </c>
      <c r="KP44" s="309" t="s">
        <v>3031</v>
      </c>
      <c r="KQ44" s="565">
        <v>100</v>
      </c>
      <c r="KR44" s="547">
        <v>10</v>
      </c>
      <c r="KS44" s="552" t="s">
        <v>3084</v>
      </c>
      <c r="KV44" s="312" t="s">
        <v>2986</v>
      </c>
      <c r="KW44" s="260">
        <f>SUM(KY23:KY23)</f>
        <v>1196.72</v>
      </c>
      <c r="KX44" s="297" t="s">
        <v>3163</v>
      </c>
      <c r="KY44" s="202">
        <v>7.9</v>
      </c>
      <c r="KZ44" s="341" t="s">
        <v>2956</v>
      </c>
      <c r="LB44" s="297" t="s">
        <v>2129</v>
      </c>
      <c r="LC44" s="259">
        <f>SUM(LE32:LE40)</f>
        <v>808.89</v>
      </c>
      <c r="LD44" s="547">
        <v>22.2</v>
      </c>
      <c r="LE44" s="560" t="s">
        <v>3168</v>
      </c>
      <c r="LH44" s="202"/>
    </row>
    <row r="45" spans="1:320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5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1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59" t="s">
        <v>1930</v>
      </c>
      <c r="GC45" s="204">
        <v>20</v>
      </c>
      <c r="GD45" s="265"/>
      <c r="GH45" s="559" t="s">
        <v>1970</v>
      </c>
      <c r="GI45" s="204">
        <v>64.680000000000007</v>
      </c>
      <c r="GJ45" s="341" t="s">
        <v>1034</v>
      </c>
      <c r="GN45" s="541">
        <v>100</v>
      </c>
      <c r="GO45" s="543"/>
      <c r="GP45" s="341" t="s">
        <v>93</v>
      </c>
      <c r="GT45" s="559" t="s">
        <v>2035</v>
      </c>
      <c r="GU45" s="204">
        <v>70</v>
      </c>
      <c r="GZ45" s="563">
        <v>60</v>
      </c>
      <c r="HA45" s="537" t="s">
        <v>1827</v>
      </c>
      <c r="HF45" s="341" t="s">
        <v>2050</v>
      </c>
      <c r="HG45" s="204">
        <v>90</v>
      </c>
      <c r="HX45" s="574" t="s">
        <v>2262</v>
      </c>
      <c r="HY45" s="574"/>
      <c r="HZ45" s="341" t="s">
        <v>93</v>
      </c>
      <c r="ID45" s="547">
        <f>20+9</f>
        <v>29</v>
      </c>
      <c r="IE45" s="537" t="s">
        <v>2308</v>
      </c>
      <c r="IH45" s="310" t="s">
        <v>1392</v>
      </c>
      <c r="II45" s="259">
        <f>SUM(IK10:IK11)</f>
        <v>3467.75</v>
      </c>
      <c r="IJ45" s="547">
        <v>20</v>
      </c>
      <c r="IK45" s="537" t="s">
        <v>2367</v>
      </c>
      <c r="IO45" s="491"/>
      <c r="IP45" s="547">
        <v>12</v>
      </c>
      <c r="IQ45" s="552" t="s">
        <v>2421</v>
      </c>
      <c r="IV45" s="338"/>
      <c r="IW45" s="340"/>
      <c r="JB45" s="489" t="s">
        <v>2542</v>
      </c>
      <c r="JC45" s="495">
        <v>18</v>
      </c>
      <c r="JG45" s="562"/>
      <c r="JH45" s="514" t="s">
        <v>2922</v>
      </c>
      <c r="JI45" s="336">
        <v>65</v>
      </c>
      <c r="JN45" s="341" t="s">
        <v>2688</v>
      </c>
      <c r="JO45" s="336">
        <v>120.36</v>
      </c>
      <c r="JT45" s="575" t="s">
        <v>2747</v>
      </c>
      <c r="JU45" s="410">
        <v>27.83</v>
      </c>
      <c r="JX45" s="297" t="s">
        <v>2129</v>
      </c>
      <c r="JY45" s="259">
        <f>SUM(KA33:KA44)</f>
        <v>681.71</v>
      </c>
      <c r="JZ45" s="341" t="s">
        <v>2932</v>
      </c>
      <c r="KA45" s="261">
        <f>8+61+1</f>
        <v>70</v>
      </c>
      <c r="KE45" s="285"/>
      <c r="KF45" s="576" t="s">
        <v>2868</v>
      </c>
      <c r="KG45" s="341">
        <v>98.58</v>
      </c>
      <c r="KJ45" s="309" t="s">
        <v>2959</v>
      </c>
      <c r="KK45" s="565">
        <v>250</v>
      </c>
      <c r="KL45" s="547">
        <v>10</v>
      </c>
      <c r="KM45" s="552" t="s">
        <v>2953</v>
      </c>
      <c r="KR45" s="547">
        <f>10+10+5+5</f>
        <v>30</v>
      </c>
      <c r="KS45" s="552" t="s">
        <v>3085</v>
      </c>
      <c r="KT45" s="341" t="s">
        <v>2955</v>
      </c>
      <c r="KV45" s="448" t="s">
        <v>2974</v>
      </c>
      <c r="KW45" s="259">
        <v>0</v>
      </c>
      <c r="KX45" s="297" t="s">
        <v>3150</v>
      </c>
      <c r="KY45" s="336">
        <f>40.5+66.1</f>
        <v>106.6</v>
      </c>
      <c r="LB45" s="297" t="s">
        <v>2858</v>
      </c>
      <c r="LC45" s="555">
        <f>SUM(LE34:LE40)</f>
        <v>235.89</v>
      </c>
      <c r="LD45" s="547">
        <v>30</v>
      </c>
      <c r="LE45" s="552" t="s">
        <v>1827</v>
      </c>
      <c r="LH45" s="202"/>
    </row>
    <row r="46" spans="1:320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1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59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59" t="s">
        <v>2049</v>
      </c>
      <c r="GU46" s="204">
        <v>29.6</v>
      </c>
      <c r="GZ46" s="561">
        <v>20</v>
      </c>
      <c r="HA46" s="537" t="s">
        <v>2112</v>
      </c>
      <c r="HX46" s="574"/>
      <c r="HY46" s="574"/>
      <c r="ID46" s="326" t="s">
        <v>2319</v>
      </c>
      <c r="IE46" s="493">
        <v>23</v>
      </c>
      <c r="IH46" s="300" t="s">
        <v>2130</v>
      </c>
      <c r="II46" s="311">
        <f>SUM(IK12:IK13)</f>
        <v>2138.0500000000002</v>
      </c>
      <c r="IJ46" s="547">
        <v>5</v>
      </c>
      <c r="IK46" s="537" t="s">
        <v>2351</v>
      </c>
      <c r="IO46" s="491"/>
      <c r="IP46" s="547">
        <v>20</v>
      </c>
      <c r="IQ46" s="552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4" t="s">
        <v>2675</v>
      </c>
      <c r="JO46" s="336">
        <v>2.79</v>
      </c>
      <c r="JT46" s="575" t="s">
        <v>2728</v>
      </c>
      <c r="JU46" s="410">
        <v>8.61</v>
      </c>
      <c r="JX46" s="297" t="s">
        <v>2858</v>
      </c>
      <c r="JY46" s="259">
        <f>SUM(KA36:KA44)</f>
        <v>301.70999999999998</v>
      </c>
      <c r="JZ46" s="341" t="s">
        <v>2933</v>
      </c>
      <c r="KA46" s="261">
        <v>300</v>
      </c>
      <c r="KE46" s="285"/>
      <c r="KL46" s="547">
        <v>20</v>
      </c>
      <c r="KM46" s="552" t="s">
        <v>2985</v>
      </c>
      <c r="KQ46" s="285"/>
      <c r="KR46" s="341" t="s">
        <v>3033</v>
      </c>
      <c r="KS46" s="341">
        <v>120</v>
      </c>
      <c r="KT46" s="341" t="s">
        <v>2956</v>
      </c>
      <c r="KV46" s="301" t="s">
        <v>2981</v>
      </c>
      <c r="KW46" s="259">
        <f>SUM(KY8:KY13)</f>
        <v>1272.93</v>
      </c>
      <c r="KX46" s="297" t="s">
        <v>3149</v>
      </c>
      <c r="KY46" s="336">
        <v>5.8</v>
      </c>
      <c r="LD46" s="547">
        <v>7</v>
      </c>
      <c r="LE46" s="552" t="s">
        <v>3169</v>
      </c>
      <c r="LH46" s="202"/>
    </row>
    <row r="47" spans="1:320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0"/>
      <c r="DL47" s="204"/>
      <c r="DM47" s="204" t="s">
        <v>1509</v>
      </c>
      <c r="DN47" s="261">
        <v>50</v>
      </c>
      <c r="DO47" s="285"/>
      <c r="DP47" s="501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59" t="s">
        <v>1826</v>
      </c>
      <c r="FQ47" s="285">
        <v>4.41</v>
      </c>
      <c r="FV47" s="341" t="s">
        <v>1875</v>
      </c>
      <c r="FW47" s="341">
        <v>52.15</v>
      </c>
      <c r="GB47" s="559" t="s">
        <v>1936</v>
      </c>
      <c r="GC47" s="204">
        <v>30.35</v>
      </c>
      <c r="GH47" s="341" t="s">
        <v>1571</v>
      </c>
      <c r="GI47" s="285">
        <v>638</v>
      </c>
      <c r="GN47" s="537" t="s">
        <v>1993</v>
      </c>
      <c r="GO47" s="309"/>
      <c r="GP47" s="341" t="s">
        <v>1034</v>
      </c>
      <c r="GT47" s="559" t="s">
        <v>2032</v>
      </c>
      <c r="GU47" s="204">
        <v>32.1</v>
      </c>
      <c r="GZ47" s="561">
        <v>30</v>
      </c>
      <c r="HA47" s="537" t="s">
        <v>2071</v>
      </c>
      <c r="HX47" s="213" t="s">
        <v>2256</v>
      </c>
      <c r="HY47" s="341">
        <f>40+150</f>
        <v>190</v>
      </c>
      <c r="ID47" s="514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47">
        <v>7</v>
      </c>
      <c r="IK47" s="537" t="s">
        <v>2363</v>
      </c>
      <c r="IO47" s="562"/>
      <c r="IP47" s="541">
        <v>10</v>
      </c>
      <c r="IQ47" s="552" t="s">
        <v>2431</v>
      </c>
      <c r="IV47" s="338"/>
      <c r="IW47" s="338"/>
      <c r="JB47" s="326" t="s">
        <v>2574</v>
      </c>
      <c r="JC47" s="336">
        <v>36.9</v>
      </c>
      <c r="JH47" s="338" t="s">
        <v>2639</v>
      </c>
      <c r="JI47" s="308">
        <v>3</v>
      </c>
      <c r="JN47" s="326" t="s">
        <v>2693</v>
      </c>
      <c r="JO47" s="336">
        <v>8.5500000000000007</v>
      </c>
      <c r="JT47" s="575" t="s">
        <v>2729</v>
      </c>
      <c r="JU47" s="410">
        <v>19.46</v>
      </c>
      <c r="JZ47" s="217" t="s">
        <v>2161</v>
      </c>
      <c r="KA47" s="274">
        <f>670+187</f>
        <v>857</v>
      </c>
      <c r="KE47" s="285"/>
      <c r="KK47" s="285"/>
      <c r="KL47" s="547">
        <v>24</v>
      </c>
      <c r="KM47" s="552" t="s">
        <v>2960</v>
      </c>
      <c r="KQ47" s="285"/>
      <c r="KR47" s="341" t="s">
        <v>3028</v>
      </c>
      <c r="KS47" s="341">
        <v>82.45</v>
      </c>
      <c r="KV47" s="254" t="s">
        <v>2982</v>
      </c>
      <c r="KW47" s="630">
        <f>SUM(KY14:KY22)</f>
        <v>1574</v>
      </c>
      <c r="KX47" s="341" t="s">
        <v>2941</v>
      </c>
      <c r="KY47" s="261">
        <f>400+110</f>
        <v>510</v>
      </c>
      <c r="LB47" s="309" t="s">
        <v>3195</v>
      </c>
      <c r="LC47" s="565">
        <v>200</v>
      </c>
      <c r="LD47" s="547">
        <v>10</v>
      </c>
      <c r="LE47" s="552" t="s">
        <v>2178</v>
      </c>
      <c r="LH47" s="202"/>
    </row>
    <row r="48" spans="1:320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1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59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37" t="s">
        <v>2014</v>
      </c>
      <c r="GO48" s="309"/>
      <c r="GT48" s="559" t="s">
        <v>1492</v>
      </c>
      <c r="GU48" s="341">
        <v>2.66</v>
      </c>
      <c r="GZ48" s="559" t="s">
        <v>2075</v>
      </c>
      <c r="HA48" s="204">
        <v>6</v>
      </c>
      <c r="HB48" s="265"/>
      <c r="HX48" s="356" t="s">
        <v>2227</v>
      </c>
      <c r="HY48" s="493">
        <v>150</v>
      </c>
      <c r="ID48" s="514" t="s">
        <v>1656</v>
      </c>
      <c r="IE48" s="341">
        <v>54.6</v>
      </c>
      <c r="IH48" s="297" t="s">
        <v>2129</v>
      </c>
      <c r="II48" s="311">
        <f>SUM(IK24:IK36)</f>
        <v>602.14</v>
      </c>
      <c r="IJ48" s="541">
        <f>-IK7</f>
        <v>-15</v>
      </c>
      <c r="IK48" s="537" t="s">
        <v>2352</v>
      </c>
      <c r="IP48" s="541">
        <f>17+11+6</f>
        <v>34</v>
      </c>
      <c r="IQ48" s="552" t="s">
        <v>2436</v>
      </c>
      <c r="IV48" s="507"/>
      <c r="IW48" s="338"/>
      <c r="JB48" s="326" t="s">
        <v>2598</v>
      </c>
      <c r="JC48" s="336">
        <v>13.3</v>
      </c>
      <c r="JH48" s="338"/>
      <c r="JI48" s="338"/>
      <c r="JN48" s="326" t="s">
        <v>2694</v>
      </c>
      <c r="JO48" s="336">
        <v>10.35</v>
      </c>
      <c r="JS48" s="569" t="s">
        <v>2741</v>
      </c>
      <c r="JT48" s="575" t="s">
        <v>2731</v>
      </c>
      <c r="JU48" s="411">
        <f>5.42+0.41+0.58+2.33+0.29+0.28+0.26+1.45+0.29+4.73+1.54</f>
        <v>17.579999999999998</v>
      </c>
      <c r="JZ48" s="542">
        <v>47.04</v>
      </c>
      <c r="KA48" s="274" t="s">
        <v>2830</v>
      </c>
      <c r="KK48" s="285"/>
      <c r="KL48" s="547">
        <v>8</v>
      </c>
      <c r="KM48" s="552" t="s">
        <v>2988</v>
      </c>
      <c r="KR48" s="566" t="s">
        <v>3038</v>
      </c>
      <c r="KS48" s="495">
        <v>50</v>
      </c>
      <c r="KV48" s="450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D48" s="547">
        <v>7</v>
      </c>
      <c r="LE48" s="552" t="s">
        <v>3185</v>
      </c>
      <c r="LH48" s="202"/>
    </row>
    <row r="49" spans="41:320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1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59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37" t="s">
        <v>2058</v>
      </c>
      <c r="GO49" s="309"/>
      <c r="GT49" s="559" t="s">
        <v>2024</v>
      </c>
      <c r="GU49" s="204">
        <v>60.6</v>
      </c>
      <c r="GV49" s="697" t="s">
        <v>2057</v>
      </c>
      <c r="GZ49" s="341" t="s">
        <v>2051</v>
      </c>
      <c r="HA49" s="447">
        <v>670.00099999999998</v>
      </c>
      <c r="HX49" s="357" t="s">
        <v>2252</v>
      </c>
      <c r="HY49" s="341">
        <f>389.7+107.1</f>
        <v>496.79999999999995</v>
      </c>
      <c r="ID49" s="514" t="s">
        <v>2297</v>
      </c>
      <c r="IE49" s="341">
        <v>195.81</v>
      </c>
      <c r="IH49" s="297" t="s">
        <v>2635</v>
      </c>
      <c r="II49" s="259">
        <f>SUM(IK27:IK36)</f>
        <v>428.43999999999994</v>
      </c>
      <c r="IJ49" s="541">
        <v>20</v>
      </c>
      <c r="IK49" s="537" t="s">
        <v>1827</v>
      </c>
      <c r="IP49" s="541">
        <v>20</v>
      </c>
      <c r="IQ49" s="552" t="s">
        <v>2442</v>
      </c>
      <c r="IV49" s="338"/>
      <c r="IW49" s="474"/>
      <c r="JB49" s="514"/>
      <c r="JC49" s="336"/>
      <c r="JH49" s="507"/>
      <c r="JI49" s="338"/>
      <c r="JN49" s="326" t="s">
        <v>2695</v>
      </c>
      <c r="JO49" s="336">
        <v>15.000999999999999</v>
      </c>
      <c r="JS49" s="572" t="s">
        <v>2742</v>
      </c>
      <c r="JT49" s="575" t="s">
        <v>2733</v>
      </c>
      <c r="JU49" s="577">
        <f>0.29*3</f>
        <v>0.86999999999999988</v>
      </c>
      <c r="JZ49" s="543" t="s">
        <v>1411</v>
      </c>
      <c r="KA49" s="544">
        <f>JW19+JY53+JY8-KC19</f>
        <v>280</v>
      </c>
      <c r="KL49" s="341" t="s">
        <v>2969</v>
      </c>
      <c r="KM49" s="341">
        <v>7.2</v>
      </c>
      <c r="KR49" s="341" t="s">
        <v>3069</v>
      </c>
      <c r="KS49" s="341">
        <v>19.649999999999999</v>
      </c>
      <c r="KV49" s="297" t="s">
        <v>2129</v>
      </c>
      <c r="KW49" s="259">
        <f>SUM(KY32:KY46)</f>
        <v>2538.3200000000002</v>
      </c>
      <c r="KX49" s="542">
        <v>1.9</v>
      </c>
      <c r="KY49" s="274"/>
      <c r="LB49" s="624" t="s">
        <v>3115</v>
      </c>
      <c r="LC49" s="621"/>
      <c r="LD49" s="547">
        <v>10</v>
      </c>
      <c r="LE49" s="552" t="s">
        <v>3211</v>
      </c>
      <c r="LH49" s="202"/>
    </row>
    <row r="50" spans="41:320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0" t="s">
        <v>1001</v>
      </c>
      <c r="DK50" s="204"/>
      <c r="DM50" s="217" t="s">
        <v>1531</v>
      </c>
      <c r="DN50" s="274">
        <v>700</v>
      </c>
      <c r="DO50" s="285"/>
      <c r="DP50" s="501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59" t="s">
        <v>1833</v>
      </c>
      <c r="FQ50" s="204">
        <v>45.6</v>
      </c>
      <c r="GB50" s="341" t="s">
        <v>1940</v>
      </c>
      <c r="GC50" s="204"/>
      <c r="GN50" s="537" t="s">
        <v>2013</v>
      </c>
      <c r="GO50" s="309"/>
      <c r="GP50" s="341" t="s">
        <v>478</v>
      </c>
      <c r="GT50" s="559" t="s">
        <v>2031</v>
      </c>
      <c r="GU50" s="204">
        <v>14.9</v>
      </c>
      <c r="GV50" s="697"/>
      <c r="GZ50" s="447" t="s">
        <v>2082</v>
      </c>
      <c r="HX50" s="356" t="s">
        <v>2226</v>
      </c>
      <c r="HY50" s="564">
        <v>14.4</v>
      </c>
      <c r="ID50" s="514" t="s">
        <v>2304</v>
      </c>
      <c r="IE50" s="341">
        <v>50</v>
      </c>
      <c r="IH50" s="537" t="s">
        <v>2369</v>
      </c>
      <c r="II50" s="541">
        <v>300</v>
      </c>
      <c r="IJ50" s="541">
        <v>20</v>
      </c>
      <c r="IK50" s="537" t="s">
        <v>2365</v>
      </c>
      <c r="IP50" s="326" t="s">
        <v>2407</v>
      </c>
      <c r="IQ50" s="336">
        <f>757-3.8</f>
        <v>753.2</v>
      </c>
      <c r="IV50" s="514"/>
      <c r="IW50" s="339"/>
      <c r="JB50" s="514"/>
      <c r="JC50" s="336"/>
      <c r="JH50" s="338"/>
      <c r="JI50" s="474"/>
      <c r="JN50" s="338" t="s">
        <v>2696</v>
      </c>
      <c r="JO50" s="308">
        <v>7.67</v>
      </c>
      <c r="JS50" s="578"/>
      <c r="JT50" s="579" t="s">
        <v>2735</v>
      </c>
      <c r="JU50" s="411">
        <v>21.27</v>
      </c>
      <c r="JZ50" s="547">
        <v>34</v>
      </c>
      <c r="KA50" s="560" t="s">
        <v>2831</v>
      </c>
      <c r="KG50" s="204"/>
      <c r="KL50" s="341" t="s">
        <v>2967</v>
      </c>
      <c r="KM50" s="341">
        <v>32.4</v>
      </c>
      <c r="KR50" s="217" t="s">
        <v>3046</v>
      </c>
      <c r="KS50" s="204">
        <v>25.8</v>
      </c>
      <c r="KV50" s="297" t="s">
        <v>2858</v>
      </c>
      <c r="KW50" s="555">
        <f>SUM(KY39:KY46)</f>
        <v>355.47</v>
      </c>
      <c r="KX50" s="543" t="s">
        <v>1411</v>
      </c>
      <c r="KY50" s="544">
        <f>KU26+KW52-LA25</f>
        <v>210</v>
      </c>
      <c r="LB50" s="624" t="s">
        <v>3116</v>
      </c>
      <c r="LC50" s="621"/>
      <c r="LD50" s="547"/>
      <c r="LE50" s="552"/>
      <c r="LH50" s="202"/>
    </row>
    <row r="51" spans="41:320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1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59" t="s">
        <v>1998</v>
      </c>
      <c r="GO51" s="204">
        <f>360+18</f>
        <v>378</v>
      </c>
      <c r="GP51" s="265" t="s">
        <v>1306</v>
      </c>
      <c r="GT51" s="559" t="s">
        <v>2046</v>
      </c>
      <c r="GU51" s="204">
        <v>55.29</v>
      </c>
      <c r="GV51" s="69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4" t="s">
        <v>2306</v>
      </c>
      <c r="IE51" s="341">
        <v>26.8</v>
      </c>
      <c r="IJ51" s="547">
        <v>10</v>
      </c>
      <c r="IK51" s="218" t="s">
        <v>2346</v>
      </c>
      <c r="IP51" s="326" t="s">
        <v>2393</v>
      </c>
      <c r="IQ51" s="336">
        <v>92.8</v>
      </c>
      <c r="IV51" s="514"/>
      <c r="IW51" s="338"/>
      <c r="JB51" s="514"/>
      <c r="JC51" s="336"/>
      <c r="JH51" s="514"/>
      <c r="JI51" s="339"/>
      <c r="JN51" s="514" t="s">
        <v>2697</v>
      </c>
      <c r="JO51" s="308">
        <v>3</v>
      </c>
      <c r="JT51" s="580" t="s">
        <v>2732</v>
      </c>
      <c r="JU51" s="412"/>
      <c r="JZ51" s="547">
        <v>25</v>
      </c>
      <c r="KA51" s="552" t="s">
        <v>2762</v>
      </c>
      <c r="KL51" s="566" t="s">
        <v>2968</v>
      </c>
      <c r="KM51" s="458">
        <v>1746</v>
      </c>
      <c r="KR51" s="566" t="s">
        <v>3073</v>
      </c>
      <c r="KS51" s="495">
        <v>19.07</v>
      </c>
      <c r="KX51" s="547">
        <v>20</v>
      </c>
      <c r="KY51" s="560" t="s">
        <v>3097</v>
      </c>
      <c r="LD51" s="566" t="s">
        <v>3166</v>
      </c>
      <c r="LE51" s="495">
        <f>7.77+2.71</f>
        <v>10.48</v>
      </c>
      <c r="LH51" s="202"/>
    </row>
    <row r="52" spans="41:320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1">
        <v>11.6</v>
      </c>
      <c r="DQ52" s="204"/>
      <c r="DS52" s="217" t="s">
        <v>1589</v>
      </c>
      <c r="FF52" s="265"/>
      <c r="FP52" s="559" t="s">
        <v>1835</v>
      </c>
      <c r="FQ52" s="204">
        <v>29.95</v>
      </c>
      <c r="GN52" s="559" t="s">
        <v>2005</v>
      </c>
      <c r="GO52" s="341">
        <v>38.9</v>
      </c>
      <c r="GU52" s="204"/>
      <c r="GV52" s="69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4"/>
      <c r="IW52" s="338"/>
      <c r="JB52" s="338"/>
      <c r="JC52" s="340"/>
      <c r="JH52" s="514"/>
      <c r="JI52" s="338"/>
      <c r="JN52" s="514"/>
      <c r="JZ52" s="547">
        <v>7</v>
      </c>
      <c r="KA52" s="552" t="s">
        <v>1310</v>
      </c>
      <c r="KV52" s="309" t="s">
        <v>3122</v>
      </c>
      <c r="KW52" s="565">
        <v>200</v>
      </c>
      <c r="KX52" s="547">
        <v>10</v>
      </c>
      <c r="KY52" s="552" t="s">
        <v>3099</v>
      </c>
      <c r="LD52" s="624" t="s">
        <v>3175</v>
      </c>
      <c r="LE52" s="624">
        <v>6.3</v>
      </c>
      <c r="LH52" s="202"/>
    </row>
    <row r="53" spans="41:320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1">
        <v>2</v>
      </c>
      <c r="DQ53" s="204"/>
      <c r="DS53" s="217" t="s">
        <v>1427</v>
      </c>
      <c r="DT53" s="274">
        <v>80</v>
      </c>
      <c r="FP53" s="559" t="s">
        <v>1849</v>
      </c>
      <c r="FQ53" s="204">
        <v>120</v>
      </c>
      <c r="GN53" s="559" t="s">
        <v>2008</v>
      </c>
      <c r="GO53" s="204">
        <v>33</v>
      </c>
      <c r="GT53" s="341" t="s">
        <v>2051</v>
      </c>
      <c r="GU53" s="581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4" t="s">
        <v>2262</v>
      </c>
      <c r="IE53" s="574"/>
      <c r="II53" s="491"/>
      <c r="IJ53" s="326" t="s">
        <v>2359</v>
      </c>
      <c r="IK53" s="333">
        <v>87.8</v>
      </c>
      <c r="IP53" s="507" t="s">
        <v>2422</v>
      </c>
      <c r="IQ53" s="336">
        <v>84.9</v>
      </c>
      <c r="IV53" s="514"/>
      <c r="JB53" s="338"/>
      <c r="JC53" s="308"/>
      <c r="JH53" s="514"/>
      <c r="JI53" s="338"/>
      <c r="JX53" s="309" t="s">
        <v>2819</v>
      </c>
      <c r="JY53" s="541">
        <v>200</v>
      </c>
      <c r="JZ53" s="582">
        <v>20</v>
      </c>
      <c r="KA53" s="583" t="s">
        <v>2767</v>
      </c>
      <c r="KL53" s="566"/>
      <c r="KM53" s="495"/>
      <c r="KX53" s="547">
        <v>10</v>
      </c>
      <c r="KY53" s="552" t="s">
        <v>1827</v>
      </c>
      <c r="LD53" s="566" t="s">
        <v>3174</v>
      </c>
      <c r="LE53" s="495">
        <v>6.8</v>
      </c>
      <c r="LH53" s="202"/>
    </row>
    <row r="54" spans="41:320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1">
        <v>28.8</v>
      </c>
      <c r="DQ54" s="204"/>
      <c r="FP54" s="559" t="s">
        <v>1859</v>
      </c>
      <c r="FQ54" s="204">
        <v>108.12</v>
      </c>
      <c r="GO54" s="204"/>
      <c r="GT54" s="581" t="s">
        <v>2048</v>
      </c>
      <c r="HB54" s="285"/>
      <c r="HC54" s="285"/>
      <c r="HD54" s="584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1"/>
      <c r="IJ54" s="326" t="s">
        <v>2368</v>
      </c>
      <c r="IK54" s="333">
        <f>40.6+11.5</f>
        <v>52.1</v>
      </c>
      <c r="IP54" s="514" t="s">
        <v>2423</v>
      </c>
      <c r="IQ54" s="336">
        <v>105.8</v>
      </c>
      <c r="IV54" s="514"/>
      <c r="JB54" s="338"/>
      <c r="JC54" s="338"/>
      <c r="JH54" s="514"/>
      <c r="JZ54" s="547">
        <v>20</v>
      </c>
      <c r="KA54" s="552" t="s">
        <v>2796</v>
      </c>
      <c r="KS54" s="204"/>
      <c r="KW54" s="285"/>
      <c r="KX54" s="547">
        <v>40</v>
      </c>
      <c r="KY54" s="552" t="s">
        <v>3151</v>
      </c>
      <c r="LD54" s="624" t="s">
        <v>3190</v>
      </c>
      <c r="LE54" s="624">
        <f>53.6+6.5</f>
        <v>60.1</v>
      </c>
      <c r="LH54" s="202"/>
    </row>
    <row r="55" spans="41:320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1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4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2"/>
      <c r="IJ55" s="326" t="s">
        <v>2384</v>
      </c>
      <c r="IK55" s="333">
        <v>10.49</v>
      </c>
      <c r="IP55" s="514" t="s">
        <v>2426</v>
      </c>
      <c r="IQ55" s="336"/>
      <c r="IV55" s="514"/>
      <c r="JB55" s="507"/>
      <c r="JC55" s="338"/>
      <c r="JH55" s="514"/>
      <c r="JZ55" s="547">
        <v>80</v>
      </c>
      <c r="KA55" s="552" t="s">
        <v>2798</v>
      </c>
      <c r="KW55" s="285"/>
      <c r="KX55" s="547">
        <v>20</v>
      </c>
      <c r="KY55" s="552" t="s">
        <v>3134</v>
      </c>
      <c r="LD55" s="624" t="s">
        <v>3207</v>
      </c>
      <c r="LE55" s="624">
        <v>70</v>
      </c>
      <c r="LH55" s="202"/>
    </row>
    <row r="56" spans="41:320">
      <c r="AO56" s="341" t="s">
        <v>1177</v>
      </c>
      <c r="AP56" s="341">
        <v>300</v>
      </c>
      <c r="DA56" s="204"/>
      <c r="DB56" s="204"/>
      <c r="DC56" s="585"/>
      <c r="DD56" s="586"/>
      <c r="DE56" s="204"/>
      <c r="DG56" s="204" t="s">
        <v>1425</v>
      </c>
      <c r="DH56" s="274">
        <v>30</v>
      </c>
      <c r="DK56" s="204"/>
      <c r="DO56" s="285" t="s">
        <v>1572</v>
      </c>
      <c r="DP56" s="501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4"/>
      <c r="HE56" s="285"/>
      <c r="HF56" s="285"/>
      <c r="HX56" s="514"/>
      <c r="ID56" s="356" t="s">
        <v>2276</v>
      </c>
      <c r="IE56" s="493">
        <v>67.61</v>
      </c>
      <c r="IJ56" s="326" t="s">
        <v>2242</v>
      </c>
      <c r="IK56" s="333">
        <v>135.09</v>
      </c>
      <c r="IP56" s="514" t="s">
        <v>2417</v>
      </c>
      <c r="IQ56" s="336">
        <v>47.05</v>
      </c>
      <c r="JB56" s="338"/>
      <c r="JC56" s="474"/>
      <c r="JH56" s="514"/>
      <c r="JZ56" s="547">
        <v>6</v>
      </c>
      <c r="KA56" s="552" t="s">
        <v>2797</v>
      </c>
      <c r="KM56" s="204"/>
      <c r="KX56" s="547">
        <v>10</v>
      </c>
      <c r="KY56" s="552" t="s">
        <v>3133</v>
      </c>
      <c r="LE56" s="625"/>
      <c r="LH56" s="202"/>
    </row>
    <row r="57" spans="41:320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1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4"/>
      <c r="HE57" s="285"/>
      <c r="HF57" s="285"/>
      <c r="HX57" s="514"/>
      <c r="ID57" s="213" t="s">
        <v>2284</v>
      </c>
      <c r="IE57" s="321">
        <v>-25.98</v>
      </c>
      <c r="IJ57" s="574" t="s">
        <v>2366</v>
      </c>
      <c r="IK57" s="574"/>
      <c r="IP57" s="514" t="s">
        <v>2444</v>
      </c>
      <c r="IQ57" s="340">
        <v>22.2</v>
      </c>
      <c r="JB57" s="514"/>
      <c r="JC57" s="339"/>
      <c r="JZ57" s="547">
        <v>50</v>
      </c>
      <c r="KA57" s="552" t="s">
        <v>1827</v>
      </c>
      <c r="KX57" s="547">
        <v>10</v>
      </c>
      <c r="KY57" s="552" t="s">
        <v>3124</v>
      </c>
      <c r="LH57" s="202"/>
    </row>
    <row r="58" spans="41:320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87"/>
      <c r="HB58" s="285"/>
      <c r="HC58" s="285"/>
      <c r="HD58" s="584"/>
      <c r="HE58" s="285"/>
      <c r="HF58" s="285"/>
      <c r="HX58" s="514"/>
      <c r="ID58" s="357" t="s">
        <v>2302</v>
      </c>
      <c r="IE58" s="341">
        <v>8.8000000000000007</v>
      </c>
      <c r="IJ58" s="514" t="s">
        <v>2320</v>
      </c>
      <c r="IK58" s="341">
        <v>150</v>
      </c>
      <c r="IP58" s="338" t="s">
        <v>2447</v>
      </c>
      <c r="IQ58" s="308">
        <v>22.6</v>
      </c>
      <c r="JB58" s="514"/>
      <c r="JC58" s="338"/>
      <c r="JZ58" s="341" t="s">
        <v>2801</v>
      </c>
      <c r="KA58" s="341">
        <v>31.001000000000001</v>
      </c>
      <c r="KX58" s="547">
        <v>8</v>
      </c>
      <c r="KY58" s="552" t="s">
        <v>3130</v>
      </c>
      <c r="LH58" s="202"/>
    </row>
    <row r="59" spans="41:320">
      <c r="DA59" s="204"/>
      <c r="DB59" s="204"/>
      <c r="DC59" s="285"/>
      <c r="DD59" s="586"/>
      <c r="DE59" s="204"/>
      <c r="DG59" s="217" t="s">
        <v>1413</v>
      </c>
      <c r="DH59" s="274">
        <f>21.5+57.6</f>
        <v>79.099999999999994</v>
      </c>
      <c r="HB59" s="285"/>
      <c r="HC59" s="285"/>
      <c r="HD59" s="584"/>
      <c r="HE59" s="285"/>
      <c r="HF59" s="285"/>
      <c r="ID59" s="341" t="s">
        <v>2316</v>
      </c>
      <c r="IE59" s="341">
        <f>2000+1311.79</f>
        <v>3311.79</v>
      </c>
      <c r="IJ59" s="514" t="s">
        <v>2302</v>
      </c>
      <c r="IK59" s="341">
        <v>5.4</v>
      </c>
      <c r="IP59" s="338"/>
      <c r="IQ59" s="338"/>
      <c r="JB59" s="514"/>
      <c r="JC59" s="338"/>
      <c r="JW59" s="399"/>
      <c r="JZ59" s="341" t="s">
        <v>2903</v>
      </c>
      <c r="KA59" s="446">
        <f>30/5.217</f>
        <v>5.7504312823461765</v>
      </c>
      <c r="KC59" s="399"/>
      <c r="KX59" s="547">
        <v>10</v>
      </c>
      <c r="KY59" s="552" t="s">
        <v>3131</v>
      </c>
      <c r="LG59" s="399"/>
      <c r="LH59" s="202"/>
    </row>
    <row r="60" spans="41:320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4"/>
      <c r="HE60" s="285"/>
      <c r="HF60" s="285"/>
      <c r="ID60" s="514"/>
      <c r="IJ60" s="514"/>
      <c r="IP60" s="338"/>
      <c r="IQ60" s="338"/>
      <c r="JB60" s="514"/>
      <c r="JZ60" s="341" t="s">
        <v>2799</v>
      </c>
      <c r="KA60" s="341">
        <v>21.81</v>
      </c>
      <c r="KX60" s="547">
        <v>40</v>
      </c>
      <c r="KY60" s="552" t="s">
        <v>3137</v>
      </c>
      <c r="LH60" s="202"/>
    </row>
    <row r="61" spans="41:320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4"/>
      <c r="HE61" s="285"/>
      <c r="HF61" s="285"/>
      <c r="ID61" s="514"/>
      <c r="IJ61" s="514"/>
      <c r="IP61" s="507"/>
      <c r="IQ61" s="474"/>
      <c r="JB61" s="514"/>
      <c r="JZ61" s="341" t="s">
        <v>2833</v>
      </c>
      <c r="KA61" s="341">
        <v>11.25</v>
      </c>
      <c r="KX61" s="566" t="s">
        <v>3114</v>
      </c>
      <c r="KY61" s="495">
        <v>14.4</v>
      </c>
      <c r="LA61" s="399"/>
      <c r="LH61" s="202"/>
    </row>
    <row r="62" spans="41:320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4"/>
      <c r="IJ62" s="574"/>
      <c r="IK62" s="574"/>
      <c r="IP62" s="338"/>
      <c r="IQ62" s="339"/>
      <c r="JB62" s="514"/>
      <c r="JZ62" s="341" t="s">
        <v>2760</v>
      </c>
      <c r="KA62" s="341">
        <v>117.5</v>
      </c>
      <c r="KU62" s="399"/>
      <c r="LH62" s="202"/>
    </row>
    <row r="63" spans="41:320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4"/>
      <c r="IP63" s="514"/>
      <c r="IQ63" s="338"/>
      <c r="JZ63" s="341" t="s">
        <v>2787</v>
      </c>
      <c r="KA63" s="341">
        <v>36.200000000000003</v>
      </c>
      <c r="KX63" s="566"/>
      <c r="KY63" s="495"/>
      <c r="LH63" s="202"/>
    </row>
    <row r="64" spans="41:320">
      <c r="DG64" s="217" t="s">
        <v>1167</v>
      </c>
      <c r="DH64" s="274">
        <v>1500</v>
      </c>
      <c r="ID64" s="514"/>
      <c r="IP64" s="514"/>
      <c r="IQ64" s="338"/>
      <c r="IY64" s="399"/>
      <c r="JE64" s="399"/>
      <c r="JZ64" s="285" t="s">
        <v>2781</v>
      </c>
      <c r="KA64" s="341">
        <v>9.8000000000000007</v>
      </c>
      <c r="LH64" s="202"/>
    </row>
    <row r="65" spans="205:320">
      <c r="IP65" s="514"/>
      <c r="JK65" s="399"/>
      <c r="JQ65" s="399"/>
      <c r="JZ65" s="341" t="s">
        <v>2816</v>
      </c>
      <c r="KA65" s="341">
        <v>9.77</v>
      </c>
      <c r="LH65" s="202"/>
    </row>
    <row r="66" spans="205:320">
      <c r="IJ66" s="507"/>
      <c r="IK66" s="493"/>
      <c r="IP66" s="514"/>
      <c r="JZ66" s="341" t="s">
        <v>2815</v>
      </c>
      <c r="KA66" s="341">
        <v>11.9</v>
      </c>
      <c r="KY66" s="204"/>
      <c r="LH66" s="202"/>
    </row>
    <row r="67" spans="205:320">
      <c r="IK67" s="321"/>
      <c r="IM67" s="399"/>
      <c r="IP67" s="514"/>
      <c r="IS67" s="399"/>
      <c r="JZ67" s="341" t="s">
        <v>2817</v>
      </c>
      <c r="KA67" s="341">
        <v>6.62</v>
      </c>
      <c r="KI67" s="399"/>
      <c r="KO67" s="399"/>
      <c r="LH67" s="202"/>
    </row>
    <row r="68" spans="205:320">
      <c r="IJ68" s="514"/>
      <c r="IP68" s="514"/>
      <c r="JY68" s="341" t="s">
        <v>2746</v>
      </c>
      <c r="JZ68" s="220" t="s">
        <v>2768</v>
      </c>
      <c r="KA68" s="341">
        <v>69</v>
      </c>
      <c r="LH68" s="202"/>
    </row>
    <row r="69" spans="205:320">
      <c r="HO69" s="399"/>
      <c r="IG69" s="399"/>
      <c r="IJ69" s="514"/>
      <c r="JZ69" s="220" t="s">
        <v>2788</v>
      </c>
      <c r="KA69" s="341">
        <v>8</v>
      </c>
      <c r="LH69" s="202"/>
    </row>
    <row r="70" spans="205:320">
      <c r="IJ70" s="514"/>
      <c r="JZ70" s="588" t="s">
        <v>2832</v>
      </c>
      <c r="KA70" s="204">
        <v>29.7</v>
      </c>
      <c r="LH70" s="202"/>
    </row>
    <row r="71" spans="205:320">
      <c r="IJ71" s="514"/>
      <c r="JZ71" s="220" t="s">
        <v>2800</v>
      </c>
      <c r="KA71" s="341">
        <v>8.1999999999999993</v>
      </c>
      <c r="LH71" s="202"/>
    </row>
    <row r="72" spans="205:320">
      <c r="IJ72" s="514"/>
      <c r="LH72" s="202"/>
    </row>
    <row r="73" spans="205:320">
      <c r="IJ73" s="514"/>
    </row>
    <row r="74" spans="205:320">
      <c r="HI74" s="399"/>
    </row>
    <row r="76" spans="205:320">
      <c r="GW76" s="399"/>
    </row>
    <row r="77" spans="205:320">
      <c r="HU77" s="399"/>
    </row>
    <row r="78" spans="205:320">
      <c r="HC78" s="399"/>
    </row>
    <row r="79" spans="205:320">
      <c r="IA79" s="399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2">
        <v>7000</v>
      </c>
      <c r="C2" s="453">
        <v>45342</v>
      </c>
    </row>
    <row r="3" spans="2:3">
      <c r="B3" s="454">
        <v>150000</v>
      </c>
      <c r="C3" s="455">
        <v>45356</v>
      </c>
    </row>
    <row r="4" spans="2:3">
      <c r="B4" s="454">
        <v>20000</v>
      </c>
      <c r="C4" s="455">
        <v>45370</v>
      </c>
    </row>
    <row r="5" spans="2:3">
      <c r="B5" s="454">
        <v>20000</v>
      </c>
      <c r="C5" s="455">
        <v>45384</v>
      </c>
    </row>
    <row r="6" spans="2:3">
      <c r="B6" s="454">
        <v>30000</v>
      </c>
      <c r="C6" s="455">
        <v>45398</v>
      </c>
    </row>
    <row r="7" spans="2:3">
      <c r="B7" s="454">
        <v>20000</v>
      </c>
      <c r="C7" s="455">
        <v>45412</v>
      </c>
    </row>
    <row r="8" spans="2:3" s="609" customFormat="1">
      <c r="B8" s="454">
        <v>5000</v>
      </c>
      <c r="C8" s="455">
        <v>45426</v>
      </c>
    </row>
    <row r="9" spans="2:3" s="609" customFormat="1">
      <c r="B9" s="454">
        <v>10000</v>
      </c>
      <c r="C9" s="455">
        <v>45440</v>
      </c>
    </row>
    <row r="10" spans="2:3" s="609" customFormat="1">
      <c r="B10" s="454">
        <v>5000</v>
      </c>
      <c r="C10" s="455">
        <v>45454</v>
      </c>
    </row>
    <row r="11" spans="2:3">
      <c r="B11" s="603">
        <v>5000</v>
      </c>
      <c r="C11" s="604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cmp$park`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2023-12-28T08:52:21Z</dcterms:modified>
</cp:coreProperties>
</file>