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10200" yWindow="1980" windowWidth="21240" windowHeight="11835" tabRatio="673" firstSheet="9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wife100k" sheetId="43" r:id="rId11"/>
    <sheet name="paydown" sheetId="41" r:id="rId12"/>
    <sheet name="MCS int" sheetId="42" r:id="rId13"/>
    <sheet name="!" sheetId="33" r:id="rId14"/>
    <sheet name="snap4mtg" sheetId="37" state="hidden" r:id="rId15"/>
    <sheet name="mtg2023" sheetId="35" state="hidden" r:id="rId16"/>
  </sheets>
  <calcPr calcId="162913"/>
</workbook>
</file>

<file path=xl/calcChain.xml><?xml version="1.0" encoding="utf-8"?>
<calcChain xmlns="http://schemas.openxmlformats.org/spreadsheetml/2006/main">
  <c r="JI22" i="32" l="1"/>
  <c r="JI28" i="32"/>
  <c r="JK15" i="32" l="1"/>
  <c r="JI33" i="32" l="1"/>
  <c r="JG2" i="32" l="1"/>
  <c r="JI20" i="32"/>
  <c r="JI19" i="32"/>
  <c r="B7" i="43" l="1"/>
  <c r="B14" i="43" s="1"/>
  <c r="F14" i="43" s="1"/>
  <c r="F5" i="43"/>
  <c r="F3" i="43"/>
  <c r="F7" i="43" l="1"/>
  <c r="B21" i="43"/>
  <c r="F21" i="43" s="1"/>
  <c r="B19" i="43"/>
  <c r="F19" i="43" s="1"/>
  <c r="B17" i="43"/>
  <c r="F17" i="43" s="1"/>
  <c r="B16" i="43"/>
  <c r="F16" i="43" s="1"/>
  <c r="B15" i="43"/>
  <c r="F15" i="43" s="1"/>
  <c r="B20" i="43"/>
  <c r="F20" i="43" s="1"/>
  <c r="B18" i="43"/>
  <c r="F18" i="43" s="1"/>
  <c r="B9" i="43"/>
  <c r="F9" i="43" s="1"/>
  <c r="B12" i="43"/>
  <c r="F12" i="43" s="1"/>
  <c r="B13" i="43"/>
  <c r="F13" i="43" s="1"/>
  <c r="JI43" i="32" l="1"/>
  <c r="JC21" i="32" l="1"/>
  <c r="JG29" i="32" l="1"/>
  <c r="JG28" i="32"/>
  <c r="JI35" i="32" l="1"/>
  <c r="JI5" i="32" s="1"/>
  <c r="JK3" i="32"/>
  <c r="JK7" i="32"/>
  <c r="JG31" i="32"/>
  <c r="JG30" i="32"/>
  <c r="JG33" i="32"/>
  <c r="JK2" i="32" l="1"/>
  <c r="JG32" i="32"/>
  <c r="JC37" i="32"/>
  <c r="JC26" i="32" l="1"/>
  <c r="JC17" i="32" l="1"/>
  <c r="JC16" i="32" s="1"/>
  <c r="JA36" i="32" s="1"/>
  <c r="JA19" i="32" l="1"/>
  <c r="JA9" i="32" l="1"/>
  <c r="IU23" i="32" l="1"/>
  <c r="JA35" i="32"/>
  <c r="B29" i="42" l="1"/>
  <c r="E27" i="42" s="1"/>
  <c r="E29" i="42" s="1"/>
  <c r="F27" i="42" l="1"/>
  <c r="F29" i="42" s="1"/>
  <c r="D27" i="42"/>
  <c r="D29" i="42" s="1"/>
  <c r="JC24" i="32"/>
  <c r="JC13" i="32" l="1"/>
  <c r="JC31" i="32" l="1"/>
  <c r="IU5" i="32" l="1"/>
  <c r="JA6" i="32"/>
  <c r="JA2" i="32" s="1"/>
  <c r="JC11" i="32" l="1"/>
  <c r="JA38" i="32" s="1"/>
  <c r="C29" i="41" l="1"/>
  <c r="JC23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3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3" i="41"/>
  <c r="N44" i="41" s="1"/>
  <c r="C38" i="41"/>
  <c r="K23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M23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34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<sst xmlns="http://schemas.openxmlformats.org/spreadsheetml/2006/main" count="7008" uniqueCount="2809">
  <si>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</si>
  <si>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</si>
  <si>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</si>
  <si>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</si>
  <si>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</si>
  <si>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</si>
  <si>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</si>
  <si>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</si>
  <si>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</si>
  <si>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</si>
  <si>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</si>
  <si>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</si>
  <si>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</si>
  <si>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</si>
  <si>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</si>
  <si>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</si>
  <si>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</si>
  <si>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</si>
  <si>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</si>
  <si>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</si>
  <si>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</si>
  <si>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</si>
  <si>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</si>
  <si>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</si>
  <si>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</si>
  <si>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</si>
  <si>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</si>
  <si>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</si>
  <si>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</si>
  <si>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</si>
  <si>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</si>
  <si>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</si>
  <si>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</si>
  <si>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</si>
  <si>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</si>
  <si>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</si>
  <si>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</si>
  <si>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</si>
  <si>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</si>
  <si>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</si>
  <si>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</si>
  <si>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</si>
  <si>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</si>
  <si>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</si>
  <si>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</si>
  <si>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</si>
  <si>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</si>
  <si>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</si>
  <si>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</si>
  <si>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</si>
  <si>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</si>
  <si>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</si>
  <si>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</si>
  <si>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</si>
  <si>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</si>
  <si>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</si>
  <si>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</si>
  <si>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</si>
  <si>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</si>
  <si>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</si>
  <si>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</si>
  <si>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</si>
  <si>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</si>
  <si>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</si>
  <si>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</si>
  <si>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</si>
  <si>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</si>
  <si>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</si>
  <si>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</si>
  <si>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</si>
  <si>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</si>
  <si>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</si>
  <si>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</si>
  <si>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</si>
  <si>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</si>
  <si>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</si>
  <si>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</si>
  <si>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</si>
  <si>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</si>
  <si>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</si>
  <si>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</si>
  <si>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</si>
  <si>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</si>
  <si>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</si>
  <si>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</si>
  <si>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</si>
  <si>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</si>
  <si>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</si>
  <si>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</si>
  <si>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</si>
  <si>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</si>
  <si>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</si>
  <si>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</si>
  <si>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</si>
  <si>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</si>
  <si>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</si>
  <si>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</si>
  <si>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</si>
  <si>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</si>
  <si>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</si>
  <si>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</si>
  <si>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</si>
  <si>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</si>
  <si>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</si>
  <si>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</si>
  <si>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</si>
  <si>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</si>
  <si>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</si>
  <si>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</si>
  <si>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</si>
  <si>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</si>
  <si>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</si>
  <si>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</si>
  <si>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</si>
  <si>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</si>
  <si>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</si>
  <si>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</si>
  <si>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</si>
  <si>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</si>
  <si>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</si>
  <si>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</si>
  <si>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</si>
  <si>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</si>
  <si>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</si>
  <si>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</si>
  <si>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</si>
  <si>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</si>
  <si>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</si>
  <si>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</si>
  <si>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</si>
  <si>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</si>
  <si>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</si>
  <si>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</si>
  <si>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</si>
  <si>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</si>
  <si>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</si>
  <si>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</si>
  <si>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</si>
  <si>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</si>
  <si>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</si>
  <si>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</si>
  <si>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</si>
  <si>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</si>
  <si>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</si>
  <si>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</si>
  <si>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</si>
  <si>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</si>
  <si>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</si>
  <si>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</si>
  <si>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</si>
  <si>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</si>
  <si>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</si>
  <si>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</si>
  <si>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</si>
  <si>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</si>
  <si>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</si>
  <si>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</si>
  <si>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</si>
  <si>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</si>
  <si>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</si>
  <si>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</si>
  <si>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</si>
  <si>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</si>
  <si>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</si>
  <si>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</si>
  <si>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</si>
  <si>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</si>
  <si>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</si>
  <si>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</si>
  <si>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</si>
  <si>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</si>
  <si>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</si>
  <si>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</si>
  <si>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</si>
  <si>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</si>
  <si>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</si>
  <si>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</si>
  <si>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</si>
  <si>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</si>
  <si>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</si>
  <si>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</si>
  <si>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</si>
  <si>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</si>
  <si>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</si>
  <si>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</si>
  <si>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</si>
  <si>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</si>
  <si>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</si>
  <si>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</si>
  <si>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</si>
  <si>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</si>
  <si>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</si>
  <si>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</si>
  <si>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</si>
  <si>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</si>
  <si>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</si>
  <si>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</si>
  <si>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</si>
  <si>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</si>
  <si>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</si>
  <si>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</si>
  <si>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</si>
  <si>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</si>
  <si>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</si>
  <si>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</si>
  <si>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</si>
  <si>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</si>
  <si>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</si>
  <si>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</si>
  <si>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</si>
  <si>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</si>
  <si>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</si>
  <si>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</si>
  <si>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</si>
  <si>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</si>
  <si>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</si>
  <si>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</si>
  <si>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</si>
  <si>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</si>
  <si>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</si>
  <si>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</si>
  <si>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</si>
  <si>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</si>
  <si>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</si>
  <si>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</si>
  <si>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</si>
  <si>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</si>
  <si>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</si>
  <si>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</si>
  <si>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</si>
  <si>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</si>
  <si>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</si>
  <si>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</si>
  <si>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</si>
  <si>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</si>
  <si>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</si>
  <si>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</si>
  <si>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</si>
  <si>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</si>
  <si>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</si>
  <si>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</si>
  <si>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</si>
  <si>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</si>
  <si>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</si>
  <si>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</si>
  <si>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</si>
  <si>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</si>
  <si>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</si>
  <si>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</si>
  <si>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</si>
  <si>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</si>
  <si>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</si>
  <si>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</si>
  <si>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</si>
  <si>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</si>
  <si>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</si>
  <si>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</si>
  <si>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</si>
  <si>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</si>
  <si>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</si>
  <si>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</si>
  <si>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</si>
  <si>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</si>
  <si>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</si>
  <si>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</si>
  <si>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</si>
  <si>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</si>
  <si>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</si>
  <si>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</si>
  <si>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</si>
  <si>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</si>
  <si>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</si>
  <si>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</si>
  <si>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</si>
  <si>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</si>
  <si>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</si>
  <si>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</si>
  <si>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</si>
  <si>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</si>
  <si>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</si>
  <si>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</si>
  <si>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</si>
  <si>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</si>
  <si>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</si>
  <si>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</si>
  <si>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</si>
  <si>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</si>
  <si>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</si>
  <si>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</si>
  <si>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</si>
  <si>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</si>
  <si>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</si>
  <si>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</si>
  <si>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</si>
  <si>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</si>
  <si>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</si>
  <si>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</si>
  <si>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</si>
  <si>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</si>
  <si>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</si>
  <si>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</si>
  <si>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</si>
  <si>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</si>
  <si>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</si>
  <si>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</si>
  <si>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</si>
  <si>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</si>
  <si>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</si>
  <si>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</si>
  <si>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</si>
  <si>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</si>
  <si>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</si>
  <si>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</si>
  <si>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</si>
  <si>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</si>
  <si>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</si>
  <si>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</si>
  <si>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</si>
  <si>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</si>
  <si>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</si>
  <si>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</si>
  <si>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</si>
  <si>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</si>
  <si>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</si>
  <si>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</si>
  <si>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</si>
  <si>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</si>
  <si>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</si>
  <si>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</si>
  <si>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</si>
  <si>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</si>
  <si>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</si>
  <si>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</si>
  <si>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</si>
  <si>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</si>
  <si>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</si>
  <si>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</si>
  <si>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</si>
  <si>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</si>
  <si>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</si>
  <si>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</si>
  <si>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</si>
  <si>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</si>
  <si>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</si>
  <si>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</si>
  <si>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</si>
  <si>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</si>
  <si>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</si>
  <si>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</si>
  <si>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</si>
  <si>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</si>
  <si>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</si>
  <si>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</si>
  <si>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</si>
  <si>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</si>
  <si>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</si>
  <si>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</si>
  <si>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</si>
  <si>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</si>
  <si>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</si>
  <si>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</si>
  <si>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</si>
  <si>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</si>
  <si>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</si>
  <si>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</si>
  <si>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</si>
  <si>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</si>
  <si>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</si>
  <si>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</si>
  <si>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</si>
  <si>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</si>
  <si>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</si>
  <si>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</si>
  <si>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</si>
  <si>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</si>
  <si>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</si>
  <si>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</si>
  <si>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</si>
  <si>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</si>
  <si>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</si>
  <si>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</si>
  <si>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</si>
  <si>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</si>
  <si>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</si>
  <si>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</si>
  <si>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</si>
  <si>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</si>
  <si>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</si>
  <si>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</si>
  <si>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</si>
  <si>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</si>
  <si>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</si>
  <si>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</si>
  <si>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</si>
  <si>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</si>
  <si>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</si>
  <si>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</si>
  <si>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</si>
  <si>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</si>
  <si>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</si>
  <si>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</si>
  <si>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</si>
  <si>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</si>
  <si>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</si>
  <si>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</si>
  <si>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</si>
  <si>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</si>
  <si>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</si>
  <si>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</si>
  <si>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</si>
  <si>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</si>
  <si>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</si>
  <si>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</si>
  <si>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</si>
  <si>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</si>
  <si>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</si>
  <si>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</si>
  <si>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</si>
  <si>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</si>
  <si>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</si>
  <si>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</si>
  <si>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</si>
  <si>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</si>
  <si>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</si>
  <si>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</si>
  <si>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</si>
  <si>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</si>
  <si>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</si>
  <si>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</si>
  <si>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</si>
  <si>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</si>
  <si>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</si>
  <si>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</si>
  <si>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</si>
  <si>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</si>
  <si>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</si>
  <si>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</si>
  <si>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</si>
  <si>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</si>
  <si>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</si>
  <si>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</si>
  <si>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</si>
  <si>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</si>
  <si>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</si>
  <si>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</si>
  <si>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</si>
  <si>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</si>
  <si>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</si>
  <si>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</si>
  <si>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</si>
  <si>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</si>
  <si>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</si>
  <si>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</si>
  <si>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</si>
  <si>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</si>
  <si>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</si>
  <si>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</si>
  <si>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</si>
  <si>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</si>
  <si>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</si>
  <si>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</si>
  <si>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</si>
  <si>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</si>
  <si>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</si>
  <si>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</si>
  <si>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</si>
  <si>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</si>
  <si>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</si>
  <si>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</si>
  <si>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</si>
  <si>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</si>
  <si>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</si>
  <si>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</si>
  <si>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</si>
  <si>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</si>
  <si>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</si>
  <si>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</si>
  <si>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</si>
  <si>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</si>
  <si>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</si>
  <si>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</si>
  <si>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</si>
  <si>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</si>
  <si>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</si>
  <si>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</si>
  <si>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</si>
  <si>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</si>
  <si>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</si>
  <si>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</si>
  <si>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</si>
  <si>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</si>
  <si>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</si>
  <si>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</si>
  <si>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</si>
  <si>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</si>
  <si>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</si>
  <si>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</si>
  <si>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</si>
  <si>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</si>
  <si>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</si>
  <si>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</si>
  <si>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</si>
  <si>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</si>
  <si>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</si>
  <si>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</si>
  <si>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</si>
  <si>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</si>
  <si>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</si>
  <si>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</si>
  <si>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</si>
  <si>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</si>
  <si>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</si>
  <si>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</si>
  <si>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</si>
  <si>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</si>
  <si>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</si>
  <si>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</si>
  <si>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</si>
  <si>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</si>
  <si>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</si>
  <si>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</si>
  <si>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</si>
  <si>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</si>
  <si>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</si>
  <si>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</si>
  <si>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</si>
  <si>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</si>
  <si>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</si>
  <si>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</si>
  <si>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</si>
  <si>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</si>
  <si>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</si>
  <si>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</si>
  <si>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</si>
  <si>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</si>
  <si>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</si>
  <si>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</si>
  <si>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</si>
  <si>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</si>
  <si>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</si>
  <si>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</si>
  <si>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</si>
  <si>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</si>
  <si>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</si>
  <si>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</si>
  <si>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</si>
  <si>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</si>
  <si>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</si>
  <si>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</si>
  <si>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</si>
  <si>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</si>
  <si>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</si>
  <si>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</si>
  <si>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</si>
  <si>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</si>
  <si>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</si>
  <si>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</si>
  <si>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</si>
  <si>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</si>
  <si>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</si>
  <si>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</si>
  <si>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</si>
  <si>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</si>
  <si>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</si>
  <si>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</si>
  <si>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</si>
  <si>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</si>
  <si>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</si>
  <si>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</si>
  <si>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</si>
  <si>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</si>
  <si>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</si>
  <si>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</si>
  <si>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</si>
  <si>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</si>
  <si>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</si>
  <si>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</si>
  <si>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</si>
  <si>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</si>
  <si>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</si>
  <si>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</si>
  <si>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</si>
  <si>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</si>
  <si>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</si>
  <si>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</si>
  <si>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</si>
  <si>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</si>
  <si>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</si>
  <si>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</si>
  <si>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</si>
  <si>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</si>
  <si>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</si>
  <si>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</si>
  <si>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</si>
  <si>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</si>
  <si>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</si>
  <si>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</si>
  <si>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</si>
  <si>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</si>
  <si>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</si>
  <si>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</si>
  <si>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</si>
  <si>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</si>
  <si>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</si>
  <si>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</si>
  <si>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</si>
  <si>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</si>
  <si>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</si>
  <si>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</si>
  <si>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</si>
  <si>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</si>
  <si>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</si>
  <si>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</si>
  <si>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</si>
  <si>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</si>
  <si>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</si>
  <si>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</si>
  <si>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</si>
  <si>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</si>
  <si>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</si>
  <si>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</si>
  <si>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</si>
  <si>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</si>
  <si>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</si>
  <si>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</si>
  <si>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</si>
  <si>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</si>
  <si>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</si>
  <si>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</si>
  <si>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</si>
  <si>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</si>
  <si>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</si>
  <si>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</si>
  <si>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</si>
  <si>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</si>
  <si>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</si>
  <si>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</si>
  <si>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</si>
  <si>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</si>
  <si>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</si>
  <si>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</si>
  <si>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</si>
  <si>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</si>
  <si>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</si>
  <si>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</si>
  <si>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</si>
  <si>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</si>
  <si>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</si>
  <si>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</si>
  <si>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</si>
  <si>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</si>
  <si>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</si>
  <si>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</si>
  <si>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</si>
  <si>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</si>
  <si>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</si>
  <si>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</si>
  <si>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</si>
  <si>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</si>
  <si>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</si>
  <si>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</si>
  <si>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</si>
  <si>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</si>
  <si>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</si>
  <si>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</si>
  <si>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</si>
  <si>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</si>
  <si>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</si>
  <si>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</si>
  <si>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</si>
  <si>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</si>
  <si>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</si>
  <si>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</si>
  <si>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</si>
  <si>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</si>
  <si>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</si>
  <si>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</si>
  <si>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</si>
  <si>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</si>
  <si>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</si>
  <si>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</si>
  <si>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</si>
  <si>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</si>
  <si>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</si>
  <si>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</si>
  <si>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</si>
  <si>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</si>
  <si>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</si>
  <si>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</si>
  <si>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</si>
  <si>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</si>
  <si>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</si>
  <si>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</si>
  <si>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</si>
  <si>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</si>
  <si>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</si>
  <si>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</si>
  <si>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</si>
  <si>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</si>
  <si>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</si>
  <si>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</si>
  <si>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</si>
  <si>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</si>
  <si>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</si>
  <si>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</si>
  <si>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</si>
  <si>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</si>
  <si>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</si>
  <si>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</si>
  <si>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</si>
  <si>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</si>
  <si>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</si>
  <si>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</si>
  <si>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</si>
  <si>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</si>
  <si>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</si>
  <si>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</si>
  <si>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</si>
  <si>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</si>
  <si>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</si>
  <si>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</si>
  <si>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</si>
  <si>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</si>
  <si>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</si>
  <si>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</si>
  <si>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</si>
  <si>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</si>
  <si>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</si>
  <si>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</si>
  <si>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</si>
  <si>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</si>
  <si>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</si>
  <si>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</si>
  <si>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</si>
  <si>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</si>
  <si>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</si>
  <si>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</si>
  <si>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</si>
  <si>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</si>
  <si>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</si>
  <si>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</si>
  <si>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</si>
  <si>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</si>
  <si>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</si>
  <si>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</si>
  <si>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</si>
  <si>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</si>
  <si>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</si>
  <si>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</si>
  <si>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</si>
  <si>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</si>
  <si>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</si>
  <si>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</si>
  <si>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</si>
  <si>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</si>
  <si>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</si>
  <si>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</si>
  <si>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</si>
  <si>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</si>
  <si>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</si>
  <si>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</si>
  <si>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</si>
  <si>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</si>
  <si>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</si>
  <si>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</si>
  <si>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</si>
  <si>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</si>
  <si>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</si>
  <si>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</si>
  <si>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</si>
  <si>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</si>
  <si>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</si>
  <si>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</si>
  <si>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</si>
  <si>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</si>
  <si>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</si>
  <si>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</si>
  <si>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</si>
  <si>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</si>
  <si>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</si>
  <si>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</si>
  <si>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</si>
  <si>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</si>
  <si>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</si>
  <si>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</si>
  <si>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</si>
  <si>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</si>
  <si>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</si>
  <si>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</si>
  <si>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</si>
  <si>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</si>
  <si>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</si>
  <si>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</si>
  <si>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</si>
  <si>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</si>
  <si>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</si>
  <si>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</si>
  <si>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</si>
  <si>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</si>
  <si>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</si>
  <si>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</si>
  <si>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</si>
  <si>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</si>
  <si>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</si>
  <si>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</si>
  <si>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</si>
  <si>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</si>
  <si>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</si>
  <si>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</si>
  <si>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</si>
  <si>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</si>
  <si>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</si>
  <si>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</si>
  <si>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</si>
  <si>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</si>
  <si>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</si>
  <si>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</si>
  <si>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</si>
  <si>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</si>
  <si>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</si>
  <si>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</si>
  <si>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</si>
  <si>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</si>
  <si>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</si>
  <si>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</si>
  <si>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</si>
  <si>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</si>
  <si>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</si>
  <si>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</si>
  <si>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</si>
  <si>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</si>
  <si>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</si>
  <si>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</si>
  <si>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</si>
  <si>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</si>
  <si>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</si>
  <si>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</si>
  <si>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</si>
  <si>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</si>
  <si>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</si>
  <si>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</si>
  <si>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</si>
  <si>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</si>
  <si>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</si>
  <si>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</si>
  <si>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</si>
  <si>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</si>
  <si>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</si>
  <si>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</si>
  <si>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</si>
  <si>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</si>
  <si>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</si>
  <si>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</si>
  <si>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</si>
  <si>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</si>
  <si>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</si>
  <si>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</si>
  <si>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</si>
  <si>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</si>
  <si>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</si>
  <si>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</si>
  <si>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</si>
  <si>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</si>
  <si>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</si>
  <si>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</si>
  <si>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</si>
  <si>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</si>
  <si>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</si>
  <si>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</si>
  <si>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</si>
  <si>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</si>
  <si>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</si>
  <si>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</si>
  <si>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</si>
  <si>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</si>
  <si>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</si>
  <si>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</si>
  <si>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</si>
  <si>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</si>
  <si>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</si>
  <si>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</si>
  <si>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</si>
  <si>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</si>
  <si>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</si>
  <si>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</si>
  <si>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</si>
  <si>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</si>
  <si>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</si>
  <si>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</si>
  <si>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</si>
  <si>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</si>
  <si>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</si>
  <si>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</si>
  <si>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</si>
  <si>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</si>
  <si>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</si>
  <si>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</si>
  <si>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</si>
  <si>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</si>
  <si>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</si>
  <si>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</si>
  <si>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</si>
  <si>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</si>
  <si>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</si>
  <si>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</si>
  <si>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</si>
  <si>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</si>
  <si>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</si>
  <si>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</si>
  <si>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</si>
  <si>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</si>
  <si>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</si>
  <si>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</si>
  <si>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</si>
  <si>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</si>
  <si>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</si>
  <si>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</si>
  <si>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</si>
  <si>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</si>
  <si>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</si>
  <si>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</si>
  <si>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</si>
  <si>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</si>
  <si>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</si>
  <si>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</si>
  <si>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</si>
  <si>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</si>
  <si>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</si>
  <si>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</si>
  <si>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</si>
  <si>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</si>
  <si>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</si>
  <si>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</si>
  <si>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</si>
  <si>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</si>
  <si>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</si>
  <si>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</si>
  <si>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</si>
  <si>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</si>
  <si>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</si>
  <si>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</si>
  <si>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</si>
  <si>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</si>
  <si>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</si>
  <si>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</si>
  <si>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</si>
  <si>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</si>
  <si>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</si>
  <si>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</si>
  <si>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</si>
  <si>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</si>
  <si>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</si>
  <si>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</si>
  <si>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</si>
  <si>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</si>
  <si>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</si>
  <si>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</si>
  <si>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</si>
  <si>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</si>
  <si>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</si>
  <si>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</si>
  <si>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</si>
  <si>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</si>
  <si>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</si>
  <si>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</si>
  <si>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</si>
  <si>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</si>
  <si>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</si>
  <si>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</si>
  <si>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</si>
  <si>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</si>
  <si>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</si>
  <si>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</si>
  <si>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</si>
  <si>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</si>
  <si>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</si>
  <si>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</si>
  <si>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</si>
  <si>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</si>
  <si>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</si>
  <si>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</si>
  <si>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</si>
  <si>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</si>
  <si>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</si>
  <si>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</si>
  <si>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</si>
  <si>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</si>
  <si>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</si>
  <si>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</si>
  <si>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</si>
  <si>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</si>
  <si>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</si>
  <si>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</si>
  <si>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</si>
  <si>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</si>
  <si>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</si>
  <si>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</si>
  <si>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</si>
  <si>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</si>
  <si>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</si>
  <si>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</si>
  <si>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</si>
  <si>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</si>
  <si>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</si>
  <si>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</si>
  <si>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</si>
  <si>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</si>
  <si>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</si>
  <si>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</si>
  <si>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</si>
  <si>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</si>
  <si>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</si>
  <si>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</si>
  <si>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</si>
  <si>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</si>
  <si>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</si>
  <si>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</si>
  <si>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</si>
  <si>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</si>
  <si>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</si>
  <si>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</si>
  <si>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</si>
  <si>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</si>
  <si>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</si>
  <si>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</si>
  <si>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</si>
  <si>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</si>
  <si>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</si>
  <si>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</si>
  <si>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</si>
  <si>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</si>
  <si>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</si>
  <si>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</si>
  <si>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</si>
  <si>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</si>
  <si>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</si>
  <si>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</si>
  <si>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</si>
  <si>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</si>
  <si>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</si>
  <si>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</si>
  <si>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</si>
  <si>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</si>
  <si>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</si>
  <si>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</si>
  <si>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</si>
  <si>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</si>
  <si>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</si>
  <si>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</si>
  <si>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</si>
  <si>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</si>
  <si>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</si>
  <si>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</si>
  <si>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</si>
  <si>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</si>
  <si>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</si>
  <si>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</si>
  <si>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</si>
  <si>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</si>
  <si>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</si>
  <si>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</si>
  <si>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</si>
  <si>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</si>
  <si>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</si>
  <si>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</si>
  <si>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</si>
  <si>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</si>
  <si>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</si>
  <si>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</si>
  <si>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</si>
  <si>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</si>
  <si>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</si>
  <si>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</si>
  <si>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</si>
  <si>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</si>
  <si>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</si>
  <si>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</si>
  <si>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</si>
  <si>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</si>
  <si>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</si>
  <si>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</si>
  <si>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</si>
  <si>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</si>
  <si>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</si>
  <si>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</si>
  <si>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</si>
  <si>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</si>
  <si>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</si>
  <si>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</si>
  <si>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</si>
  <si>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</si>
  <si>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</si>
  <si>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</si>
  <si>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</si>
  <si>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</si>
  <si>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</si>
  <si>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</si>
  <si>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</si>
  <si>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</si>
  <si>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</si>
  <si>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</si>
  <si>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</si>
  <si>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</si>
  <si>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</si>
  <si>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</si>
  <si>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</si>
  <si>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</si>
  <si>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</si>
  <si>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</si>
  <si>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</si>
  <si>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</si>
  <si>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</si>
  <si>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</si>
  <si>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</si>
  <si>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</si>
  <si>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</si>
  <si>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</si>
  <si>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</si>
  <si>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</si>
  <si>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</si>
  <si>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</si>
  <si>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</si>
  <si>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</si>
  <si>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</si>
  <si>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</si>
  <si>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</si>
  <si>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</si>
  <si>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</si>
  <si>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</si>
  <si>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</si>
  <si>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</si>
  <si>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</si>
  <si>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</si>
  <si>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</si>
  <si>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</si>
  <si>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</si>
  <si>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</si>
  <si>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</si>
  <si>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</si>
  <si>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</si>
  <si>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</si>
  <si>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</si>
  <si>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</si>
  <si>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</si>
  <si>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</si>
  <si>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</si>
  <si>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</si>
  <si>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</si>
  <si>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</si>
  <si>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</si>
  <si>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</si>
  <si>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</si>
  <si>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</si>
  <si>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</si>
  <si>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</si>
  <si>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</si>
  <si>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</si>
  <si>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</si>
  <si>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</si>
  <si>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</si>
  <si>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</si>
  <si>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</si>
  <si>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</si>
  <si>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</si>
  <si>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</si>
  <si>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</si>
  <si>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</si>
  <si>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</si>
  <si>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</si>
  <si>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</si>
  <si>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</si>
  <si>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</si>
  <si>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</si>
  <si>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</si>
  <si>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</si>
  <si>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</si>
  <si>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</si>
  <si>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</si>
  <si>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</si>
  <si>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</si>
  <si>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</si>
  <si>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</si>
  <si>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</si>
  <si>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</si>
  <si>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</si>
  <si>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</si>
  <si>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</si>
  <si>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</si>
  <si>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</si>
  <si>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</si>
  <si>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</si>
  <si>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</si>
  <si>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</si>
  <si>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</si>
  <si>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</si>
  <si>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</si>
  <si>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</si>
  <si>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</si>
  <si>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</si>
  <si>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</si>
  <si>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</si>
  <si>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</si>
  <si>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</si>
  <si>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</si>
  <si>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</si>
  <si>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</si>
  <si>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</si>
  <si>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</si>
  <si>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</si>
  <si>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</si>
  <si>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</si>
  <si>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</si>
  <si>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</si>
  <si>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</si>
  <si>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</si>
  <si>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</si>
  <si>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</si>
  <si>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</si>
  <si>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</si>
  <si>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</si>
  <si>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</si>
  <si>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</si>
  <si>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</si>
  <si>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</si>
  <si>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</si>
  <si>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</si>
  <si>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</si>
  <si>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</si>
  <si>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</si>
  <si>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</si>
  <si>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</si>
  <si>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</si>
  <si>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</si>
  <si>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</si>
  <si>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</si>
  <si>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</si>
  <si>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</si>
  <si>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</si>
  <si>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</si>
  <si>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</si>
  <si>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</si>
  <si>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</si>
  <si>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</si>
  <si>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</si>
  <si>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</si>
  <si>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</si>
  <si>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</si>
  <si>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</si>
  <si>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</si>
  <si>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</si>
  <si>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</si>
  <si>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</si>
  <si>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</si>
  <si>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</si>
  <si>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</si>
  <si>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</si>
  <si>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</si>
  <si>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</si>
  <si>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</si>
  <si>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</si>
  <si>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</si>
  <si>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</si>
  <si>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</si>
  <si>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</si>
  <si>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</si>
  <si>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</si>
  <si>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</si>
  <si>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</si>
  <si>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</si>
  <si>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</si>
  <si>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</si>
  <si>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</si>
  <si>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</si>
  <si>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</si>
  <si>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</si>
  <si>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</si>
  <si>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</si>
  <si>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</si>
  <si>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</si>
  <si>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</si>
  <si>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</si>
  <si>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</si>
  <si>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</si>
  <si>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</si>
  <si>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</si>
  <si>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</si>
  <si>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</si>
  <si>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</si>
  <si>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</si>
  <si>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</si>
  <si>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</si>
  <si>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</si>
  <si>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</si>
  <si>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</si>
  <si>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</si>
  <si>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</si>
  <si>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</si>
  <si>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</si>
  <si>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</si>
  <si>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</si>
  <si>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</si>
  <si>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</si>
  <si>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</si>
  <si>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</si>
  <si>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</si>
  <si>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</si>
  <si>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</si>
  <si>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</si>
  <si>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</si>
  <si>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</si>
  <si>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</si>
  <si>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</si>
  <si>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</si>
  <si>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</si>
  <si>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</si>
  <si>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</si>
  <si>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</si>
  <si>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</si>
  <si>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</si>
  <si>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</si>
  <si>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</si>
  <si>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</si>
  <si>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</si>
  <si>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</si>
  <si>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</si>
  <si>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</si>
  <si>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</si>
  <si>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</si>
  <si>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</si>
  <si>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</si>
  <si>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</si>
  <si>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</si>
  <si>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</si>
  <si>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</si>
  <si>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</si>
  <si>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</si>
  <si>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</si>
  <si>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</si>
  <si>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</si>
  <si>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</si>
  <si>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</si>
  <si>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</si>
  <si>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</si>
  <si>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</si>
  <si>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</si>
  <si>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</si>
  <si>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</si>
  <si>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</si>
  <si>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</si>
  <si>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</si>
  <si>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</si>
  <si>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</si>
  <si>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</si>
  <si>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</si>
  <si>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</si>
  <si>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</si>
  <si>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</si>
  <si>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</si>
  <si>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</si>
  <si>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</si>
  <si>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</si>
  <si>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</si>
  <si>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</si>
  <si>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</si>
  <si>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</si>
  <si>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</si>
  <si>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</si>
  <si>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</si>
  <si>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</si>
  <si>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</si>
  <si>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</si>
  <si>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</si>
  <si>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</si>
  <si>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</si>
  <si>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</si>
  <si>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</si>
  <si>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</si>
  <si>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</si>
  <si>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</si>
  <si>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</si>
  <si>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</si>
  <si>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</si>
  <si>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</si>
  <si>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</si>
  <si>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</si>
  <si>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</si>
  <si>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</si>
  <si>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</si>
  <si>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</si>
  <si>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</si>
  <si>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</si>
  <si>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</si>
  <si>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</si>
  <si>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</si>
  <si>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</si>
  <si>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</si>
  <si>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</si>
  <si>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</si>
  <si>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</si>
  <si>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</si>
  <si>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</si>
  <si>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</si>
  <si>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</si>
  <si>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</si>
  <si>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</si>
  <si>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</si>
  <si>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</si>
  <si>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</si>
  <si>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</si>
  <si>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</si>
  <si>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</si>
  <si>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</si>
  <si>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</si>
  <si>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</si>
  <si>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</si>
  <si>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</si>
  <si>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</si>
  <si>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</si>
  <si>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</si>
  <si>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</si>
  <si>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</si>
  <si>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</si>
  <si>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</si>
  <si>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</si>
  <si>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</si>
  <si>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</si>
  <si>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</si>
  <si>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</si>
  <si>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</si>
  <si>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</si>
  <si>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</si>
  <si>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</si>
  <si>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</si>
  <si>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</si>
  <si>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</si>
  <si>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</si>
  <si>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</si>
  <si>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</si>
  <si>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</si>
  <si>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</si>
  <si>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</si>
  <si>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</si>
  <si>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</si>
  <si>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</si>
  <si>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</si>
  <si>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</si>
  <si>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</si>
  <si>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</si>
  <si>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</si>
  <si>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</si>
  <si>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</si>
  <si>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</si>
  <si>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</si>
  <si>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</si>
  <si>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</si>
  <si>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</si>
  <si>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</si>
  <si>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</si>
  <si>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</si>
  <si>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</si>
  <si>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</si>
  <si>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</si>
  <si>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</si>
  <si>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</si>
  <si>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</si>
  <si>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</si>
  <si>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</si>
  <si>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</si>
  <si>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</si>
  <si>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</si>
  <si>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</si>
  <si>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</si>
  <si>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</si>
  <si>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</si>
  <si>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</si>
  <si>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</si>
  <si>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</si>
  <si>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</si>
  <si>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</si>
  <si>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</si>
  <si>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</si>
  <si>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</si>
  <si>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</si>
  <si>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</si>
  <si>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</si>
  <si>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</si>
  <si>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</si>
  <si>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</si>
  <si>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</si>
  <si>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</si>
  <si>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</si>
  <si>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</si>
  <si>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</si>
  <si>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</si>
  <si>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</si>
  <si>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</si>
  <si>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</si>
  <si>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</si>
  <si>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</si>
  <si>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</si>
  <si>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</si>
  <si>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</si>
  <si>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</si>
  <si>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</si>
  <si>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</si>
  <si>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</si>
  <si>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</si>
  <si>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</si>
  <si>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</si>
  <si>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</si>
  <si>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</si>
  <si>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</si>
  <si>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</si>
  <si>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</si>
  <si>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</si>
  <si>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</si>
  <si>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</si>
  <si>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</si>
  <si>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</si>
  <si>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</si>
  <si>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</si>
  <si>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</si>
  <si>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</si>
  <si>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</si>
  <si>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</si>
  <si>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</si>
  <si>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</si>
  <si>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</si>
  <si>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</si>
  <si>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</si>
  <si>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</si>
  <si>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</si>
  <si>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</si>
  <si>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</si>
  <si>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</si>
  <si>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</si>
  <si>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</si>
  <si>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</si>
  <si>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</si>
  <si>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</si>
  <si>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</si>
  <si>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</si>
  <si>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</si>
  <si>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</si>
  <si>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</si>
  <si>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</si>
  <si>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</si>
  <si>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</si>
  <si>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</si>
  <si>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</si>
  <si>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</si>
  <si>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</si>
  <si>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</si>
  <si>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</si>
  <si>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</si>
  <si>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</si>
  <si>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</si>
  <si>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</si>
  <si>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</si>
  <si>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</si>
  <si>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</si>
  <si>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</si>
  <si>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</si>
  <si>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</si>
  <si>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</si>
  <si>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</si>
  <si>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</si>
  <si>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</si>
  <si>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</si>
  <si>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</si>
  <si>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</si>
  <si>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</si>
  <si>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</si>
  <si>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</si>
  <si>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</si>
  <si>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</si>
  <si>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</si>
  <si>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</si>
  <si>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</si>
  <si>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</si>
  <si>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</si>
  <si>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</si>
  <si>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</si>
  <si>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</si>
  <si>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</si>
  <si>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</si>
  <si>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</si>
  <si>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</si>
  <si>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</si>
  <si>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</si>
  <si>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</si>
  <si>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</si>
  <si>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</si>
  <si>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</si>
  <si>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</si>
  <si>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</si>
  <si>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</si>
  <si>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</si>
  <si>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</si>
  <si>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</si>
  <si>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</si>
  <si>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</si>
  <si>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</si>
  <si>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</si>
  <si>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</si>
  <si>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</si>
  <si>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</si>
  <si>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</si>
  <si>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</si>
  <si>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</si>
  <si>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</si>
  <si>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</si>
  <si>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</si>
  <si>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</si>
  <si>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</si>
  <si>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</si>
  <si>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</si>
  <si>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</si>
  <si>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</si>
  <si>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</si>
  <si>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</si>
  <si>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</si>
  <si>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</si>
  <si>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</si>
  <si>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</si>
  <si>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</si>
  <si>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</si>
  <si>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</si>
  <si>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</si>
  <si>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</si>
  <si>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</si>
  <si>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</si>
  <si>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</si>
  <si>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</si>
  <si>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</si>
  <si>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</si>
  <si>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</si>
  <si>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</si>
  <si>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</si>
  <si>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</si>
  <si>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</si>
  <si>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</si>
  <si>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</si>
  <si>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</si>
  <si>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</si>
  <si>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</si>
  <si>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</si>
  <si>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</si>
  <si>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</si>
  <si>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</si>
  <si>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</si>
  <si>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</si>
  <si>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</si>
  <si>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</si>
  <si>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</si>
  <si>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</si>
  <si>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</si>
  <si>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</si>
  <si>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</si>
  <si>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</si>
  <si>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</si>
  <si>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</si>
  <si>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</si>
  <si>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</si>
  <si>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</si>
  <si>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</si>
  <si>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</si>
  <si>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</si>
  <si>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</si>
  <si>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</si>
  <si>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</si>
  <si>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</si>
  <si>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</si>
  <si>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</si>
  <si>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</si>
  <si>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</si>
  <si>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</si>
  <si>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</si>
  <si>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</si>
  <si>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</si>
  <si>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</si>
  <si>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</si>
  <si>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</si>
  <si>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</si>
  <si>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</si>
  <si>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</si>
  <si>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</si>
  <si>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</si>
  <si>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</si>
  <si>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</si>
  <si>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</si>
  <si>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</si>
  <si>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</si>
  <si>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</si>
  <si>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</si>
  <si>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</si>
  <si>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</si>
  <si>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</si>
  <si>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</si>
  <si>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</si>
  <si>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</si>
  <si>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</si>
  <si>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</si>
  <si>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</si>
  <si>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</si>
  <si>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</si>
  <si>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</si>
  <si>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</si>
  <si>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</si>
  <si>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</si>
  <si>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</si>
  <si>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</si>
  <si>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</si>
  <si>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</si>
  <si>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</si>
  <si>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</si>
  <si>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</si>
  <si>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</si>
  <si>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</si>
  <si>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</si>
  <si>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</si>
  <si>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</si>
  <si>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</si>
  <si>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</si>
  <si>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</si>
  <si>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</si>
  <si>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</si>
  <si>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</si>
  <si>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</si>
  <si>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</si>
  <si>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</si>
  <si>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</si>
  <si>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</si>
  <si>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</si>
  <si>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</si>
  <si>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</si>
  <si>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</si>
  <si>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</si>
  <si>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</si>
  <si>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</si>
  <si>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</si>
  <si>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</si>
  <si>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</si>
  <si>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</si>
  <si>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</si>
  <si>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</si>
  <si>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</si>
  <si>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</si>
  <si>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</si>
  <si>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</si>
  <si>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</si>
  <si>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</si>
  <si>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</si>
  <si>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</si>
  <si>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</si>
  <si>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</si>
  <si>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</si>
  <si>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</si>
  <si>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</si>
  <si>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</si>
  <si>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</si>
  <si>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</si>
  <si>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</si>
  <si>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</si>
  <si>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</si>
  <si>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</si>
  <si>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</si>
  <si>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</si>
  <si>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</si>
  <si>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</si>
  <si>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</si>
  <si>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</si>
  <si>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</si>
  <si>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</si>
  <si>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</si>
  <si>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</si>
  <si>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</si>
  <si>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</si>
  <si>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</si>
  <si>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</si>
  <si>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</si>
  <si>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</si>
  <si>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</si>
  <si>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</si>
  <si>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</si>
  <si>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</si>
  <si>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</si>
  <si>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</si>
  <si>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</si>
  <si>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</si>
  <si>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</si>
  <si>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</si>
  <si>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</si>
  <si>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</si>
  <si>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</si>
  <si>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</si>
  <si>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</si>
  <si>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</si>
  <si>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</si>
  <si>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</si>
  <si>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</si>
  <si>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</si>
  <si>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</si>
  <si>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</si>
  <si>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</si>
  <si>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</si>
  <si>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</si>
  <si>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</si>
  <si>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</si>
  <si>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</si>
  <si>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</si>
  <si>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</si>
  <si>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</si>
  <si>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</si>
  <si>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</si>
  <si>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</si>
  <si>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</si>
  <si>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</si>
  <si>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</si>
  <si>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</si>
  <si>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</si>
  <si>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</si>
  <si>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</si>
  <si>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</si>
  <si>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</si>
  <si>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</si>
  <si>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</si>
  <si>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</si>
  <si>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</si>
  <si>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</si>
  <si>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</si>
  <si>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</si>
  <si>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</si>
  <si>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</si>
  <si>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</si>
  <si>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</si>
  <si>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</si>
  <si>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</si>
  <si>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</si>
  <si>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</si>
  <si>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</si>
  <si>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</si>
  <si>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</si>
  <si>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</si>
  <si>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</si>
  <si>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</si>
  <si>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</si>
  <si>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</si>
  <si>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</si>
  <si>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</si>
  <si>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</si>
  <si>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</si>
  <si>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</si>
  <si>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</si>
  <si>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</si>
  <si>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</si>
  <si>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</si>
  <si>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</si>
  <si>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</si>
  <si>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</si>
  <si>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</si>
  <si>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</si>
  <si>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</si>
  <si>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</si>
  <si>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</si>
  <si>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</si>
  <si>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</si>
  <si>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</si>
  <si>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</si>
  <si>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</si>
  <si>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</si>
  <si>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</si>
  <si>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</si>
  <si>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</si>
  <si>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</si>
  <si>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</si>
  <si>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</si>
  <si>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</si>
  <si>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</si>
  <si>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</si>
  <si>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</si>
  <si>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</si>
  <si>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</si>
  <si>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</si>
  <si>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</si>
  <si>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</si>
  <si>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</si>
  <si>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</si>
  <si>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</si>
  <si>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</si>
  <si>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</si>
  <si>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</si>
  <si>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</si>
  <si>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</si>
  <si>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</si>
  <si>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</si>
  <si>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</si>
  <si>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</si>
  <si>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</si>
  <si>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</si>
  <si>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</si>
  <si>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</si>
  <si>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</si>
  <si>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</si>
  <si>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</si>
  <si>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</si>
  <si>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</si>
  <si>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</si>
  <si>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</si>
  <si>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</si>
  <si>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</si>
  <si>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</si>
  <si>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</si>
  <si>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</si>
  <si>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</si>
  <si>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</si>
  <si>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</si>
  <si>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</si>
  <si>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</si>
  <si>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</si>
  <si>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</si>
  <si>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</si>
  <si>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</si>
  <si>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</si>
  <si>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</si>
  <si>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</si>
  <si>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</si>
  <si>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</si>
  <si>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</si>
  <si>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</si>
  <si>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</si>
  <si>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</si>
  <si>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</si>
  <si>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</si>
  <si>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</si>
  <si>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</si>
  <si>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</si>
  <si>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</si>
  <si>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</si>
  <si>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</si>
  <si>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</si>
  <si>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</si>
  <si>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</si>
  <si>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</si>
  <si>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</si>
  <si>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</si>
  <si>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</si>
  <si>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</si>
  <si>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</si>
  <si>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</si>
  <si>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</si>
  <si>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</si>
  <si>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</si>
  <si>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</si>
  <si>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</si>
  <si>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</si>
  <si>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</si>
  <si>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</si>
  <si>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</si>
  <si>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</si>
  <si>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</si>
  <si>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</si>
  <si>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</si>
  <si>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</si>
  <si>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</si>
  <si>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</si>
  <si>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</si>
  <si>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</si>
  <si>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</si>
  <si>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</si>
  <si>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</si>
  <si>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</si>
  <si>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</si>
  <si>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</si>
  <si>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</si>
  <si>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</si>
  <si>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</si>
  <si>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</si>
  <si>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</si>
  <si>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</si>
  <si>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</si>
  <si>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</si>
  <si>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</si>
  <si>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</si>
  <si>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</si>
  <si>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</si>
  <si>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</si>
  <si>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</si>
  <si>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</si>
  <si>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</si>
  <si>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</si>
  <si>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</si>
  <si>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</si>
  <si>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</si>
  <si>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</si>
  <si>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</si>
  <si>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</si>
  <si>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</si>
  <si>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</si>
  <si>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</si>
  <si>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</si>
  <si>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</si>
  <si>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</si>
  <si>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</si>
  <si>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</si>
  <si>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</si>
  <si>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</si>
  <si>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</si>
  <si>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</si>
  <si>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</si>
  <si>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</si>
  <si>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</si>
  <si>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</si>
  <si>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</si>
  <si>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</si>
  <si>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</si>
  <si>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</si>
  <si>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</si>
  <si>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</si>
  <si>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</si>
  <si>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</si>
  <si>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</si>
  <si>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</si>
  <si>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</si>
  <si>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</si>
  <si>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</si>
  <si>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</si>
  <si>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</si>
  <si>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</si>
  <si>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</si>
  <si>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</si>
  <si>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</si>
  <si>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</si>
  <si>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</si>
  <si>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</si>
  <si>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</si>
  <si>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</si>
  <si>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</si>
  <si>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</si>
  <si>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</si>
  <si>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</si>
  <si>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</si>
  <si>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</si>
  <si>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</si>
  <si>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</si>
  <si>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</si>
  <si>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</si>
  <si>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</si>
  <si>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</si>
  <si>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</si>
  <si>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</si>
  <si>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</si>
  <si>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</si>
  <si>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</si>
  <si>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</si>
  <si>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</si>
  <si>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</si>
  <si>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</si>
  <si>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</si>
  <si>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</si>
  <si>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</si>
  <si>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</si>
  <si>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</si>
  <si>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</si>
  <si>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</si>
  <si>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</si>
  <si>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</si>
  <si>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</si>
  <si>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</si>
  <si>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</si>
  <si>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</si>
  <si>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</si>
  <si>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</si>
  <si>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</si>
  <si>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</si>
  <si>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</si>
  <si>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</si>
  <si>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</si>
  <si>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</si>
  <si>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</si>
  <si>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</si>
  <si>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</si>
  <si>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</si>
  <si>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</si>
  <si>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</si>
  <si>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</si>
  <si>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</si>
  <si>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</si>
  <si>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</si>
  <si>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</si>
  <si>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</si>
  <si>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</si>
  <si>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</si>
  <si>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</si>
  <si>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</si>
  <si>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</si>
  <si>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</si>
  <si>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</si>
  <si>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</si>
  <si>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</si>
  <si>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</si>
  <si>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</si>
  <si>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</si>
  <si>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</si>
  <si>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</si>
  <si>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</si>
  <si>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</si>
  <si>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</si>
  <si>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</si>
  <si>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</si>
  <si>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</si>
  <si>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</si>
  <si>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</si>
  <si>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</si>
  <si>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</si>
  <si>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</si>
  <si>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</si>
  <si>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</si>
  <si>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</si>
  <si>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</si>
  <si>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</si>
  <si>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</si>
  <si>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</si>
  <si>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</si>
  <si>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</si>
  <si>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</si>
  <si>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</si>
  <si>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</si>
  <si>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</si>
  <si>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</si>
  <si>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</si>
  <si>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</si>
  <si>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</si>
  <si>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</si>
  <si>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</si>
  <si>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</si>
  <si>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</si>
  <si>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</si>
  <si>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</si>
  <si>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</si>
  <si>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</si>
  <si>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</si>
  <si>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</si>
  <si>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</si>
  <si>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</si>
  <si>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</si>
  <si>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</si>
  <si>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</si>
  <si>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</si>
  <si>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</si>
  <si>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</si>
  <si>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</si>
  <si>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</si>
  <si>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</si>
  <si>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</si>
  <si>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</si>
  <si>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</si>
  <si>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</si>
  <si>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</si>
  <si>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</si>
  <si>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</si>
  <si>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</si>
  <si>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</si>
  <si>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</si>
  <si>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</si>
  <si>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</si>
  <si>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</si>
  <si>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</si>
  <si>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</si>
  <si>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</si>
  <si>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</si>
  <si>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</si>
  <si>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</si>
  <si>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</si>
  <si>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</si>
  <si>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</si>
  <si>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</si>
  <si>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</si>
  <si>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</si>
  <si>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</si>
  <si>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</si>
  <si>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</si>
  <si>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</si>
  <si>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</si>
  <si>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</si>
  <si>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</si>
  <si>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</si>
  <si>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</si>
  <si>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</si>
  <si>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</si>
  <si>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</si>
  <si>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</si>
  <si>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</si>
  <si>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</si>
  <si>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</si>
  <si>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</si>
  <si>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</si>
  <si>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</si>
  <si>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</si>
  <si>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</si>
  <si>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</si>
  <si>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</si>
  <si>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</si>
  <si>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</si>
  <si>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</si>
  <si>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</si>
  <si>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</si>
  <si>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</si>
  <si>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</si>
  <si>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</si>
  <si>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</si>
  <si>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</si>
  <si>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</si>
  <si>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</si>
  <si>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</si>
  <si>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</si>
  <si>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</si>
  <si>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</si>
  <si>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</si>
  <si>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</si>
  <si>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</si>
  <si>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</si>
  <si>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</si>
  <si>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</si>
  <si>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</si>
  <si>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</si>
  <si>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</si>
  <si>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</si>
  <si>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</si>
  <si>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</si>
  <si>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</si>
  <si>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</si>
  <si>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</si>
  <si>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</si>
  <si>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</si>
  <si>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</si>
  <si>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</si>
  <si>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</si>
  <si>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</si>
  <si>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</si>
  <si>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</si>
  <si>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</si>
  <si>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</si>
  <si>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</si>
  <si>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</si>
  <si>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</si>
  <si>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</si>
  <si>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</si>
  <si>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</si>
  <si>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</si>
  <si>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</si>
  <si>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</si>
  <si>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</si>
  <si>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</si>
  <si>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</si>
  <si>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</si>
  <si>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</si>
  <si>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</si>
  <si>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</si>
  <si>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</si>
  <si>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</si>
  <si>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</si>
  <si>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</si>
  <si>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</si>
  <si>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</si>
  <si>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</si>
  <si>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</si>
  <si>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</si>
  <si>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</si>
  <si>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</si>
  <si>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</si>
  <si>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</si>
  <si>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</si>
  <si>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</si>
  <si>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</si>
  <si>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</si>
  <si>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</si>
  <si>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</si>
  <si>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</si>
  <si>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</si>
  <si>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</si>
  <si>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</si>
  <si>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</si>
  <si>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</si>
  <si>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</si>
  <si>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</si>
  <si>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</si>
  <si>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</si>
  <si>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</si>
  <si>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</si>
  <si>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</si>
  <si>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</si>
  <si>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</si>
  <si>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</si>
  <si>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</si>
  <si>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</si>
  <si>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</si>
  <si>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</si>
  <si>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</si>
  <si>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</si>
  <si>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</si>
  <si>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</si>
  <si>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</si>
  <si>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</si>
  <si>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</si>
  <si>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</si>
  <si>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</si>
  <si>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</si>
  <si>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</si>
  <si>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</si>
  <si>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</si>
  <si>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</si>
  <si>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</si>
  <si>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</si>
  <si>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</si>
  <si>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</si>
  <si>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</si>
  <si>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</si>
  <si>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</si>
  <si>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</si>
  <si>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</si>
  <si>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</si>
  <si>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</si>
  <si>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</si>
  <si>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</si>
  <si>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</si>
  <si>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</si>
  <si>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</si>
  <si>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</si>
  <si>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</si>
  <si>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</si>
  <si>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</si>
  <si>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</si>
  <si>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</si>
  <si>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</si>
  <si>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</si>
  <si>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</si>
  <si>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</si>
  <si>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</si>
  <si>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</si>
  <si>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</si>
  <si>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</si>
  <si>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</si>
  <si>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</si>
  <si>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</si>
  <si>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</si>
  <si>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</si>
  <si>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</si>
  <si>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</si>
  <si>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</si>
  <si>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</si>
  <si>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</si>
  <si>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</si>
  <si>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</si>
  <si>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</si>
  <si>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</si>
  <si>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</si>
  <si>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</si>
  <si>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</si>
  <si>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</si>
  <si>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</si>
  <si>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</si>
  <si>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</si>
  <si>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</si>
  <si>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</si>
  <si>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</si>
  <si>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</si>
  <si>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</si>
  <si>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</si>
  <si>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</si>
  <si>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</si>
  <si>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</si>
  <si>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</si>
  <si>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</si>
  <si>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</si>
  <si>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</si>
  <si>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</si>
  <si>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</si>
  <si>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</si>
  <si>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</si>
  <si>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</si>
  <si>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</si>
  <si>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</si>
  <si>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</si>
  <si>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</si>
  <si>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</si>
  <si>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</si>
  <si>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</si>
  <si>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</si>
  <si>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</si>
  <si>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</si>
  <si>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</si>
  <si>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</si>
  <si>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</si>
  <si>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</si>
  <si>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</si>
  <si>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</si>
  <si>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</si>
  <si>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</si>
  <si>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</si>
  <si>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</si>
  <si>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</si>
  <si>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</si>
  <si>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</si>
  <si>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</si>
  <si>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</si>
  <si>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</si>
  <si>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</si>
  <si>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</si>
  <si>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</si>
  <si>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</si>
  <si>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</si>
  <si>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</si>
  <si>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</si>
  <si>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</si>
  <si>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</si>
  <si>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</si>
  <si>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</si>
  <si>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</si>
  <si>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</si>
  <si>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</si>
  <si>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</si>
  <si>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</si>
  <si>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</si>
  <si>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</si>
  <si>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</si>
  <si>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</si>
  <si>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</si>
  <si>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</si>
  <si>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</si>
  <si>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</si>
  <si>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</si>
  <si>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</si>
  <si>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</si>
  <si>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</si>
  <si>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</si>
  <si>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</si>
  <si>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</si>
  <si>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</si>
  <si>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</si>
  <si>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</si>
  <si>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</si>
  <si>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</si>
  <si>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</si>
  <si>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</si>
  <si>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</si>
  <si>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</si>
  <si>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</si>
  <si>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</si>
  <si>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</si>
  <si>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</si>
  <si>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</si>
  <si>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</si>
  <si>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</si>
  <si>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</si>
  <si>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</si>
  <si>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</si>
  <si>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</si>
  <si>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</si>
  <si>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</si>
  <si>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</si>
  <si>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</si>
  <si>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</si>
  <si>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</si>
  <si>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</si>
  <si>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</si>
  <si>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</si>
  <si>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</si>
  <si>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</si>
  <si>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</si>
  <si>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</si>
  <si>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</si>
  <si>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</si>
  <si>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</si>
  <si>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</si>
  <si>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</si>
  <si>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</si>
  <si>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</si>
  <si>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</si>
  <si>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</si>
  <si>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</si>
  <si>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</si>
  <si>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</si>
  <si>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</si>
  <si>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</si>
  <si>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</si>
  <si>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</si>
  <si>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</si>
  <si>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</si>
  <si>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</si>
  <si>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</si>
  <si>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</si>
  <si>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</si>
  <si>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</si>
  <si>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</si>
  <si>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</si>
  <si>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</si>
  <si>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</si>
  <si>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</si>
  <si>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</si>
  <si>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</si>
  <si>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</si>
  <si>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</si>
  <si>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</si>
  <si>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</si>
  <si>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</si>
  <si>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</si>
  <si>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</si>
  <si>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</si>
  <si>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</si>
  <si>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</si>
  <si>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</si>
  <si>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</si>
  <si>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</si>
  <si>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</si>
  <si>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</si>
  <si>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</si>
  <si>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</si>
  <si>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</si>
  <si>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</si>
  <si>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</si>
  <si>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</si>
  <si>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</si>
  <si>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</si>
  <si>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</si>
  <si>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</si>
  <si>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</si>
  <si>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</si>
  <si>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</si>
  <si>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</si>
  <si>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</si>
  <si>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</si>
  <si>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</si>
  <si>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</si>
  <si>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</si>
  <si>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</si>
  <si>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</si>
  <si>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</si>
  <si>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</si>
  <si>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</si>
  <si>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</si>
  <si>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</si>
  <si>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</si>
  <si>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</si>
  <si>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</si>
  <si>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</si>
  <si>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</si>
  <si>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</si>
  <si>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</si>
  <si>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</si>
  <si>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</si>
  <si>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</si>
  <si>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</si>
  <si>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</si>
  <si>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</si>
  <si>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</si>
  <si>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</si>
  <si>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</si>
  <si>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</si>
  <si>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</si>
  <si>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</si>
  <si>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</si>
  <si>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</si>
  <si>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</si>
  <si>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</si>
  <si>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</si>
  <si>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</si>
  <si>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</si>
  <si>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</si>
  <si>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</si>
  <si>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</si>
  <si>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</si>
  <si>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</si>
  <si>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</si>
  <si>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</si>
  <si>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</si>
  <si>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</si>
  <si>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</si>
  <si>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</si>
  <si>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</si>
  <si>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</si>
  <si>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</si>
  <si>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</si>
  <si>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</si>
  <si>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</si>
  <si>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</si>
  <si>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</si>
  <si>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</si>
  <si>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</si>
  <si>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</si>
  <si>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</si>
  <si>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</si>
  <si>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</si>
  <si>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</si>
  <si>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</si>
  <si>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</si>
  <si>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</si>
  <si>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</si>
  <si>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</si>
  <si>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</si>
  <si>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</si>
  <si>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</si>
  <si>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</si>
  <si>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</si>
  <si>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</si>
  <si>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</si>
  <si>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</si>
  <si>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</si>
  <si>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</si>
  <si>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</si>
  <si>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</si>
  <si>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</si>
  <si>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</si>
  <si>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</si>
  <si>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</si>
  <si>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</si>
  <si>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</si>
  <si>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</si>
  <si>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</si>
  <si>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</si>
  <si>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</si>
  <si>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</si>
  <si>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</si>
  <si>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</si>
  <si>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</si>
  <si>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</si>
  <si>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</si>
  <si>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</si>
  <si>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</si>
  <si>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</si>
  <si>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</si>
  <si>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shopee mosquito</t>
  </si>
  <si>
    <t xml:space="preserve">cash </t>
  </si>
  <si>
    <t>late Apr &gt;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</si>
  <si>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</si>
  <si>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</si>
  <si>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</si>
  <si>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</si>
  <si>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</si>
  <si>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</si>
  <si>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</si>
  <si>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</si>
  <si>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</si>
  <si>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</si>
  <si>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</si>
  <si>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</si>
  <si>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</si>
  <si>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</si>
  <si>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</si>
  <si>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</si>
  <si>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</si>
  <si>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</si>
  <si>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</si>
  <si>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</si>
  <si>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</si>
  <si>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</si>
  <si>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</si>
  <si>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</si>
  <si>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</si>
  <si>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</si>
  <si>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</si>
  <si>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</si>
  <si>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</si>
  <si>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</si>
  <si>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</si>
  <si>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</si>
  <si>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</si>
  <si>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</si>
  <si>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</si>
  <si>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</si>
  <si>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</si>
  <si>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</si>
  <si>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</si>
  <si>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</si>
  <si>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</si>
  <si>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</si>
  <si>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</si>
  <si>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</si>
  <si>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</si>
  <si>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</si>
  <si>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</si>
  <si>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</si>
  <si>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</si>
  <si>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</si>
  <si>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</si>
  <si>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</si>
  <si>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</si>
  <si>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</si>
  <si>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</si>
  <si>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</si>
  <si>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</si>
  <si>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</si>
  <si>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</si>
  <si>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</si>
  <si>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</si>
  <si>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</si>
  <si>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</si>
  <si>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</si>
  <si>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</si>
  <si>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</si>
  <si>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</si>
  <si>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</si>
  <si>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</si>
  <si>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</si>
  <si>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</si>
  <si>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</si>
  <si>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</si>
  <si>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</si>
  <si>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</si>
  <si>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</si>
  <si>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</si>
  <si>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</si>
  <si>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</si>
  <si>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</si>
  <si>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</si>
  <si>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</si>
  <si>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</si>
  <si>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</si>
  <si>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</si>
  <si>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12k tBill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</si>
  <si>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</si>
  <si>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</si>
  <si>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</si>
  <si>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</si>
  <si>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</si>
  <si>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</si>
  <si>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</si>
  <si>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</si>
  <si>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</si>
  <si>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</si>
  <si>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</si>
  <si>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</si>
  <si>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</si>
  <si>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</si>
  <si>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</si>
  <si>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</si>
  <si>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</si>
  <si>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</si>
  <si>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</si>
  <si>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</si>
  <si>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</si>
  <si>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</si>
  <si>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</si>
  <si>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</si>
  <si>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</si>
  <si>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</si>
  <si>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</si>
  <si>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</si>
  <si>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</si>
  <si>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</si>
  <si>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</si>
  <si>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</si>
  <si>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cpf deduction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</si>
  <si>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</si>
  <si>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</si>
  <si>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</si>
  <si>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</si>
  <si>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</si>
  <si>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</si>
  <si>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</si>
  <si>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</si>
  <si>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bx placeholder</t>
  </si>
  <si>
    <t>kids placeholder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</si>
  <si>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</si>
  <si>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</si>
  <si>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</si>
  <si>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</si>
  <si>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</si>
  <si>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</si>
  <si>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</si>
  <si>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</si>
  <si>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>BKTeh #MB</t>
  </si>
  <si>
    <t>Saizeriya #MB</t>
  </si>
  <si>
    <t xml:space="preserve">   ⬐outflow cat2explain A-B⬐</t>
  </si>
  <si>
    <t>sMkt/{me#BOC|DBS</t>
  </si>
  <si>
    <t>sMkt/{me#14Mar</t>
  </si>
  <si>
    <t>taobao #{153</t>
  </si>
  <si>
    <t>BS22125T back to UOB #113k</t>
  </si>
  <si>
    <t>iPhone14 #MB</t>
  </si>
  <si>
    <t>sgBike4wife#MB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</si>
  <si>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</si>
  <si>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</si>
  <si>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</si>
  <si>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</si>
  <si>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</si>
  <si>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</si>
  <si>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</si>
  <si>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</si>
  <si>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</si>
  <si>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</si>
  <si>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</si>
  <si>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</si>
  <si>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</si>
  <si>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</si>
  <si>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</si>
  <si>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</si>
  <si>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mtg ppp</t>
  </si>
  <si>
    <t>to become 250k</t>
  </si>
  <si>
    <t>MB RBFT instalment</t>
  </si>
  <si>
    <t>MCS}MB</t>
  </si>
  <si>
    <t>CitiRBFT int total</t>
  </si>
  <si>
    <t>40.9 not yet</t>
  </si>
  <si>
    <t>OmoOmo</t>
  </si>
  <si>
    <t>BOC int on 30k</t>
  </si>
  <si>
    <t>BOC int on 35k</t>
  </si>
  <si>
    <t>dinner2Apr</t>
  </si>
  <si>
    <t>MosBurger</t>
  </si>
  <si>
    <t>anyW#25Mar,1,2Apr</t>
  </si>
  <si>
    <t>ask hotline about qualifying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</si>
</sst>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5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172" fontId="89" fillId="0" borderId="0" xfId="3" applyNumberFormat="1" applyFont="1"/>
    <xf numFmtId="3" fontId="77" fillId="0" borderId="0" xfId="3" applyNumberFormat="1" applyFont="1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2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178" fontId="69" fillId="0" borderId="9" xfId="3" applyNumberFormat="1" applyFont="1" applyBorder="1" applyAlignment="1">
      <alignment horizontal="right" vertical="center"/>
    </xf>
    <xf numFmtId="0" fontId="0" fillId="0" borderId="0" xfId="0"/>
    <xf numFmtId="3" fontId="24" fillId="24" borderId="0" xfId="0" applyNumberFormat="1" applyFont="1" applyFill="1"/>
    <xf numFmtId="3" fontId="24" fillId="24" borderId="8" xfId="0" applyNumberFormat="1" applyFont="1" applyFill="1" applyBorder="1" applyAlignment="1">
      <alignment horizontal="center"/>
    </xf>
    <xf numFmtId="3" fontId="24" fillId="24" borderId="8" xfId="0" applyNumberFormat="1" applyFont="1" applyFill="1" applyBorder="1" applyAlignment="1">
      <alignment horizontal="center" wrapText="1"/>
    </xf>
    <xf numFmtId="0" fontId="24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25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0" xfId="3" applyFont="1" applyAlignment="1">
      <alignment horizontal="center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M77"/>
  <sheetViews>
    <sheetView tabSelected="1" topLeftCell="JE1" zoomScaleNormal="100" workbookViewId="0">
      <selection activeCell="JM21" sqref="JM21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8.7109375" style="623" customWidth="1"/>
    <col min="258" max="258" width="18.28515625" style="623" customWidth="1"/>
    <col min="259" max="259" width="9.140625" style="623" bestFit="1" customWidth="1"/>
    <col min="260" max="260" width="14.5703125" style="676" customWidth="1"/>
    <col min="261" max="261" width="9.140625" style="676" bestFit="1" customWidth="1"/>
    <col min="262" max="262" width="15.85546875" style="676" customWidth="1"/>
    <col min="263" max="263" width="10.85546875" style="676" bestFit="1" customWidth="1"/>
    <col min="264" max="264" width="18" style="676" customWidth="1"/>
    <col min="265" max="265" width="8.140625" style="676" customWidth="1"/>
    <col min="266" max="266" width="14.5703125" style="734" customWidth="1"/>
    <col min="267" max="267" width="9.140625" style="734" bestFit="1" customWidth="1"/>
    <col min="268" max="268" width="15.85546875" style="734" customWidth="1"/>
    <col min="269" max="269" width="11.85546875" style="734" bestFit="1" customWidth="1"/>
    <col min="270" max="270" width="18" style="734" customWidth="1"/>
    <col min="271" max="271" width="9.42578125" style="734" customWidth="1"/>
    <col min="272" max="272" width="7.140625" style="734" customWidth="1"/>
    <col min="273" max="273" width="7.5703125" customWidth="1"/>
  </cols>
  <sheetData>
    <row r="1" spans="1:273" s="145" customFormat="1" x14ac:dyDescent="0.2">
      <c r="A1" s="803" t="s">
        <v>1216</v>
      </c>
      <c r="B1" s="803"/>
      <c r="C1" s="766" t="s">
        <v>292</v>
      </c>
      <c r="D1" s="766"/>
      <c r="E1" s="764" t="s">
        <v>1017</v>
      </c>
      <c r="F1" s="764"/>
      <c r="G1" s="803" t="s">
        <v>1217</v>
      </c>
      <c r="H1" s="803"/>
      <c r="I1" s="766" t="s">
        <v>292</v>
      </c>
      <c r="J1" s="766"/>
      <c r="K1" s="764" t="s">
        <v>1018</v>
      </c>
      <c r="L1" s="764"/>
      <c r="M1" s="803" t="s">
        <v>1218</v>
      </c>
      <c r="N1" s="803"/>
      <c r="O1" s="766" t="s">
        <v>292</v>
      </c>
      <c r="P1" s="766"/>
      <c r="Q1" s="764" t="s">
        <v>1064</v>
      </c>
      <c r="R1" s="764"/>
      <c r="S1" s="803" t="s">
        <v>1219</v>
      </c>
      <c r="T1" s="803"/>
      <c r="U1" s="766" t="s">
        <v>292</v>
      </c>
      <c r="V1" s="766"/>
      <c r="W1" s="764" t="s">
        <v>633</v>
      </c>
      <c r="X1" s="764"/>
      <c r="Y1" s="803" t="s">
        <v>1220</v>
      </c>
      <c r="Z1" s="803"/>
      <c r="AA1" s="766" t="s">
        <v>292</v>
      </c>
      <c r="AB1" s="766"/>
      <c r="AC1" s="764" t="s">
        <v>1091</v>
      </c>
      <c r="AD1" s="764"/>
      <c r="AE1" s="803" t="s">
        <v>1221</v>
      </c>
      <c r="AF1" s="803"/>
      <c r="AG1" s="766" t="s">
        <v>292</v>
      </c>
      <c r="AH1" s="766"/>
      <c r="AI1" s="764" t="s">
        <v>1141</v>
      </c>
      <c r="AJ1" s="764"/>
      <c r="AK1" s="803" t="s">
        <v>1224</v>
      </c>
      <c r="AL1" s="803"/>
      <c r="AM1" s="766" t="s">
        <v>1139</v>
      </c>
      <c r="AN1" s="766"/>
      <c r="AO1" s="764" t="s">
        <v>1140</v>
      </c>
      <c r="AP1" s="764"/>
      <c r="AQ1" s="803" t="s">
        <v>1225</v>
      </c>
      <c r="AR1" s="803"/>
      <c r="AS1" s="766" t="s">
        <v>1139</v>
      </c>
      <c r="AT1" s="766"/>
      <c r="AU1" s="764" t="s">
        <v>1185</v>
      </c>
      <c r="AV1" s="764"/>
      <c r="AW1" s="803" t="s">
        <v>1222</v>
      </c>
      <c r="AX1" s="803"/>
      <c r="AY1" s="764" t="s">
        <v>1248</v>
      </c>
      <c r="AZ1" s="764"/>
      <c r="BA1" s="803" t="s">
        <v>1222</v>
      </c>
      <c r="BB1" s="803"/>
      <c r="BC1" s="766" t="s">
        <v>822</v>
      </c>
      <c r="BD1" s="766"/>
      <c r="BE1" s="764" t="s">
        <v>1215</v>
      </c>
      <c r="BF1" s="764"/>
      <c r="BG1" s="803" t="s">
        <v>1223</v>
      </c>
      <c r="BH1" s="803"/>
      <c r="BI1" s="766" t="s">
        <v>822</v>
      </c>
      <c r="BJ1" s="766"/>
      <c r="BK1" s="764" t="s">
        <v>1215</v>
      </c>
      <c r="BL1" s="764"/>
      <c r="BM1" s="803" t="s">
        <v>1233</v>
      </c>
      <c r="BN1" s="803"/>
      <c r="BO1" s="766" t="s">
        <v>822</v>
      </c>
      <c r="BP1" s="766"/>
      <c r="BQ1" s="764" t="s">
        <v>1251</v>
      </c>
      <c r="BR1" s="764"/>
      <c r="BS1" s="803" t="s">
        <v>1250</v>
      </c>
      <c r="BT1" s="803"/>
      <c r="BU1" s="766" t="s">
        <v>822</v>
      </c>
      <c r="BV1" s="766"/>
      <c r="BW1" s="764" t="s">
        <v>1255</v>
      </c>
      <c r="BX1" s="764"/>
      <c r="BY1" s="803" t="s">
        <v>1277</v>
      </c>
      <c r="BZ1" s="803"/>
      <c r="CA1" s="766" t="s">
        <v>822</v>
      </c>
      <c r="CB1" s="766"/>
      <c r="CC1" s="764" t="s">
        <v>1251</v>
      </c>
      <c r="CD1" s="764"/>
      <c r="CE1" s="803" t="s">
        <v>1298</v>
      </c>
      <c r="CF1" s="803"/>
      <c r="CG1" s="766" t="s">
        <v>822</v>
      </c>
      <c r="CH1" s="766"/>
      <c r="CI1" s="764" t="s">
        <v>1255</v>
      </c>
      <c r="CJ1" s="764"/>
      <c r="CK1" s="803" t="s">
        <v>1314</v>
      </c>
      <c r="CL1" s="803"/>
      <c r="CM1" s="766" t="s">
        <v>822</v>
      </c>
      <c r="CN1" s="766"/>
      <c r="CO1" s="764" t="s">
        <v>1251</v>
      </c>
      <c r="CP1" s="764"/>
      <c r="CQ1" s="803" t="s">
        <v>1342</v>
      </c>
      <c r="CR1" s="803"/>
      <c r="CS1" s="799" t="s">
        <v>822</v>
      </c>
      <c r="CT1" s="799"/>
      <c r="CU1" s="764" t="s">
        <v>1398</v>
      </c>
      <c r="CV1" s="764"/>
      <c r="CW1" s="803" t="s">
        <v>1381</v>
      </c>
      <c r="CX1" s="803"/>
      <c r="CY1" s="799" t="s">
        <v>822</v>
      </c>
      <c r="CZ1" s="799"/>
      <c r="DA1" s="764" t="s">
        <v>1604</v>
      </c>
      <c r="DB1" s="764"/>
      <c r="DC1" s="803" t="s">
        <v>1401</v>
      </c>
      <c r="DD1" s="803"/>
      <c r="DE1" s="799" t="s">
        <v>822</v>
      </c>
      <c r="DF1" s="799"/>
      <c r="DG1" s="764" t="s">
        <v>1498</v>
      </c>
      <c r="DH1" s="764"/>
      <c r="DI1" s="803" t="s">
        <v>1601</v>
      </c>
      <c r="DJ1" s="803"/>
      <c r="DK1" s="799" t="s">
        <v>822</v>
      </c>
      <c r="DL1" s="799"/>
      <c r="DM1" s="764" t="s">
        <v>1398</v>
      </c>
      <c r="DN1" s="764"/>
      <c r="DO1" s="803" t="s">
        <v>1602</v>
      </c>
      <c r="DP1" s="803"/>
      <c r="DQ1" s="799" t="s">
        <v>822</v>
      </c>
      <c r="DR1" s="799"/>
      <c r="DS1" s="764" t="s">
        <v>1597</v>
      </c>
      <c r="DT1" s="764"/>
      <c r="DU1" s="803" t="s">
        <v>1603</v>
      </c>
      <c r="DV1" s="803"/>
      <c r="DW1" s="799" t="s">
        <v>822</v>
      </c>
      <c r="DX1" s="799"/>
      <c r="DY1" s="764" t="s">
        <v>1623</v>
      </c>
      <c r="DZ1" s="764"/>
      <c r="EA1" s="798" t="s">
        <v>1618</v>
      </c>
      <c r="EB1" s="798"/>
      <c r="EC1" s="799" t="s">
        <v>822</v>
      </c>
      <c r="ED1" s="799"/>
      <c r="EE1" s="764" t="s">
        <v>1597</v>
      </c>
      <c r="EF1" s="764"/>
      <c r="EG1" s="365"/>
      <c r="EH1" s="798" t="s">
        <v>1648</v>
      </c>
      <c r="EI1" s="798"/>
      <c r="EJ1" s="799" t="s">
        <v>822</v>
      </c>
      <c r="EK1" s="799"/>
      <c r="EL1" s="764" t="s">
        <v>1682</v>
      </c>
      <c r="EM1" s="764"/>
      <c r="EN1" s="798" t="s">
        <v>1673</v>
      </c>
      <c r="EO1" s="798"/>
      <c r="EP1" s="799" t="s">
        <v>822</v>
      </c>
      <c r="EQ1" s="799"/>
      <c r="ER1" s="764" t="s">
        <v>1722</v>
      </c>
      <c r="ES1" s="764"/>
      <c r="ET1" s="798" t="s">
        <v>1715</v>
      </c>
      <c r="EU1" s="798"/>
      <c r="EV1" s="799" t="s">
        <v>822</v>
      </c>
      <c r="EW1" s="799"/>
      <c r="EX1" s="764" t="s">
        <v>1623</v>
      </c>
      <c r="EY1" s="764"/>
      <c r="EZ1" s="798" t="s">
        <v>1750</v>
      </c>
      <c r="FA1" s="798"/>
      <c r="FB1" s="799" t="s">
        <v>822</v>
      </c>
      <c r="FC1" s="799"/>
      <c r="FD1" s="764" t="s">
        <v>1604</v>
      </c>
      <c r="FE1" s="764"/>
      <c r="FF1" s="798" t="s">
        <v>1789</v>
      </c>
      <c r="FG1" s="798"/>
      <c r="FH1" s="799" t="s">
        <v>822</v>
      </c>
      <c r="FI1" s="799"/>
      <c r="FJ1" s="764" t="s">
        <v>1398</v>
      </c>
      <c r="FK1" s="764"/>
      <c r="FL1" s="798" t="s">
        <v>1824</v>
      </c>
      <c r="FM1" s="798"/>
      <c r="FN1" s="799" t="s">
        <v>822</v>
      </c>
      <c r="FO1" s="799"/>
      <c r="FP1" s="764" t="s">
        <v>1871</v>
      </c>
      <c r="FQ1" s="764"/>
      <c r="FR1" s="798" t="s">
        <v>1860</v>
      </c>
      <c r="FS1" s="798"/>
      <c r="FT1" s="799" t="s">
        <v>822</v>
      </c>
      <c r="FU1" s="799"/>
      <c r="FV1" s="764" t="s">
        <v>1871</v>
      </c>
      <c r="FW1" s="764"/>
      <c r="FX1" s="798" t="s">
        <v>2004</v>
      </c>
      <c r="FY1" s="798"/>
      <c r="FZ1" s="799" t="s">
        <v>822</v>
      </c>
      <c r="GA1" s="799"/>
      <c r="GB1" s="764" t="s">
        <v>1623</v>
      </c>
      <c r="GC1" s="764"/>
      <c r="GD1" s="798" t="s">
        <v>2005</v>
      </c>
      <c r="GE1" s="798"/>
      <c r="GF1" s="799" t="s">
        <v>822</v>
      </c>
      <c r="GG1" s="799"/>
      <c r="GH1" s="764" t="s">
        <v>1597</v>
      </c>
      <c r="GI1" s="764"/>
      <c r="GJ1" s="798" t="s">
        <v>2014</v>
      </c>
      <c r="GK1" s="798"/>
      <c r="GL1" s="799" t="s">
        <v>822</v>
      </c>
      <c r="GM1" s="799"/>
      <c r="GN1" s="764" t="s">
        <v>1597</v>
      </c>
      <c r="GO1" s="764"/>
      <c r="GP1" s="798" t="s">
        <v>2056</v>
      </c>
      <c r="GQ1" s="798"/>
      <c r="GR1" s="799" t="s">
        <v>822</v>
      </c>
      <c r="GS1" s="799"/>
      <c r="GT1" s="764" t="s">
        <v>1682</v>
      </c>
      <c r="GU1" s="764"/>
      <c r="GV1" s="798" t="s">
        <v>2090</v>
      </c>
      <c r="GW1" s="798"/>
      <c r="GX1" s="799" t="s">
        <v>822</v>
      </c>
      <c r="GY1" s="799"/>
      <c r="GZ1" s="764" t="s">
        <v>2129</v>
      </c>
      <c r="HA1" s="764"/>
      <c r="HB1" s="798" t="s">
        <v>2149</v>
      </c>
      <c r="HC1" s="798"/>
      <c r="HD1" s="799" t="s">
        <v>822</v>
      </c>
      <c r="HE1" s="799"/>
      <c r="HF1" s="764" t="s">
        <v>1722</v>
      </c>
      <c r="HG1" s="764"/>
      <c r="HH1" s="798" t="s">
        <v>2162</v>
      </c>
      <c r="HI1" s="798"/>
      <c r="HJ1" s="799" t="s">
        <v>822</v>
      </c>
      <c r="HK1" s="799"/>
      <c r="HL1" s="764" t="s">
        <v>1398</v>
      </c>
      <c r="HM1" s="764"/>
      <c r="HN1" s="798" t="s">
        <v>2208</v>
      </c>
      <c r="HO1" s="798"/>
      <c r="HP1" s="799" t="s">
        <v>822</v>
      </c>
      <c r="HQ1" s="799"/>
      <c r="HR1" s="764" t="s">
        <v>1398</v>
      </c>
      <c r="HS1" s="764"/>
      <c r="HT1" s="798" t="s">
        <v>2264</v>
      </c>
      <c r="HU1" s="798"/>
      <c r="HV1" s="799" t="s">
        <v>822</v>
      </c>
      <c r="HW1" s="799"/>
      <c r="HX1" s="764" t="s">
        <v>1623</v>
      </c>
      <c r="HY1" s="764"/>
      <c r="HZ1" s="798" t="s">
        <v>2326</v>
      </c>
      <c r="IA1" s="798"/>
      <c r="IB1" s="799" t="s">
        <v>822</v>
      </c>
      <c r="IC1" s="799"/>
      <c r="ID1" s="764" t="s">
        <v>1722</v>
      </c>
      <c r="IE1" s="764"/>
      <c r="IF1" s="798" t="s">
        <v>2393</v>
      </c>
      <c r="IG1" s="798"/>
      <c r="IH1" s="799" t="s">
        <v>822</v>
      </c>
      <c r="II1" s="799"/>
      <c r="IJ1" s="764" t="s">
        <v>1597</v>
      </c>
      <c r="IK1" s="764"/>
      <c r="IL1" s="798" t="s">
        <v>2469</v>
      </c>
      <c r="IM1" s="798"/>
      <c r="IN1" s="799" t="s">
        <v>822</v>
      </c>
      <c r="IO1" s="799"/>
      <c r="IP1" s="764" t="s">
        <v>1623</v>
      </c>
      <c r="IQ1" s="764"/>
      <c r="IR1" s="798" t="s">
        <v>2705</v>
      </c>
      <c r="IS1" s="798"/>
      <c r="IT1" s="799" t="s">
        <v>822</v>
      </c>
      <c r="IU1" s="799"/>
      <c r="IV1" s="764" t="s">
        <v>1755</v>
      </c>
      <c r="IW1" s="764"/>
      <c r="IX1" s="798" t="s">
        <v>2704</v>
      </c>
      <c r="IY1" s="798"/>
      <c r="IZ1" s="799" t="s">
        <v>822</v>
      </c>
      <c r="JA1" s="799"/>
      <c r="JB1" s="764" t="s">
        <v>1871</v>
      </c>
      <c r="JC1" s="764"/>
      <c r="JD1" s="798" t="s">
        <v>2760</v>
      </c>
      <c r="JE1" s="798"/>
      <c r="JF1" s="799" t="s">
        <v>822</v>
      </c>
      <c r="JG1" s="799"/>
      <c r="JH1" s="764" t="s">
        <v>1755</v>
      </c>
      <c r="JI1" s="764"/>
      <c r="JJ1" s="798" t="s">
        <v>2707</v>
      </c>
      <c r="JK1" s="798"/>
      <c r="JL1" s="633"/>
    </row>
    <row r="2" spans="1:273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6" t="s">
        <v>295</v>
      </c>
      <c r="JA2" s="534">
        <f>SUM(JA4:JA30)</f>
        <v>29637.580999999998</v>
      </c>
      <c r="JB2" s="338" t="s">
        <v>296</v>
      </c>
      <c r="JC2" s="277">
        <f>JA2+IY2-JE2</f>
        <v>11138.843999999983</v>
      </c>
      <c r="JD2" s="676" t="s">
        <v>1918</v>
      </c>
      <c r="JE2" s="367">
        <f>SUM(JE3:JE25)</f>
        <v>130070</v>
      </c>
      <c r="JF2" s="734" t="s">
        <v>295</v>
      </c>
      <c r="JG2" s="534">
        <f>SUM(JG4:JG26)</f>
        <v>16948.330000000002</v>
      </c>
      <c r="JH2" s="338" t="s">
        <v>296</v>
      </c>
      <c r="JI2" s="277">
        <f>JG2+JE2-JK2</f>
        <v>9576.6600000000326</v>
      </c>
      <c r="JJ2" s="734" t="s">
        <v>1918</v>
      </c>
      <c r="JK2" s="367">
        <f>SUM(JK3:JK26)</f>
        <v>137441.66999999998</v>
      </c>
      <c r="JL2" s="664"/>
    </row>
    <row r="3" spans="1:273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1732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IW2-IU24-IU23</f>
        <v>5412.0003333333552</v>
      </c>
      <c r="IX3" s="623" t="s">
        <v>2371</v>
      </c>
      <c r="IY3" s="272">
        <f>$IA$6</f>
        <v>-420000</v>
      </c>
      <c r="IZ3" s="722"/>
      <c r="JA3" s="534"/>
      <c r="JB3" s="676" t="s">
        <v>2423</v>
      </c>
      <c r="JC3" s="277">
        <f>JC2-JA36-JA35</f>
        <v>5095.8463333333166</v>
      </c>
      <c r="JD3" s="676" t="s">
        <v>2371</v>
      </c>
      <c r="JE3" s="272">
        <f>$IA$6</f>
        <v>-420000</v>
      </c>
      <c r="JG3" s="534"/>
      <c r="JH3" s="734" t="s">
        <v>2423</v>
      </c>
      <c r="JI3" s="277">
        <f>JI2-JG29-JG28</f>
        <v>3757.5300000000329</v>
      </c>
      <c r="JJ3" s="734" t="s">
        <v>2371</v>
      </c>
      <c r="JK3" s="272">
        <f>$IA$6</f>
        <v>-420000</v>
      </c>
      <c r="JL3" s="664" t="s">
        <v>2797</v>
      </c>
    </row>
    <row r="4" spans="1:273" ht="12.75" customHeight="1" thickBot="1" x14ac:dyDescent="0.25">
      <c r="A4" s="761" t="s">
        <v>998</v>
      </c>
      <c r="B4" s="761"/>
      <c r="E4" s="173" t="s">
        <v>233</v>
      </c>
      <c r="F4" s="177">
        <f>F3-F5</f>
        <v>17</v>
      </c>
      <c r="G4" s="761" t="s">
        <v>998</v>
      </c>
      <c r="H4" s="761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6" t="s">
        <v>2709</v>
      </c>
      <c r="IU4" s="584">
        <v>-1437.02</v>
      </c>
      <c r="IV4" s="741" t="s">
        <v>2475</v>
      </c>
      <c r="IW4" s="277">
        <f>IW3-IU25</f>
        <v>2897.9403333333553</v>
      </c>
      <c r="IX4" s="668" t="s">
        <v>2651</v>
      </c>
      <c r="IY4" s="670">
        <v>0.13300000000000001</v>
      </c>
      <c r="IZ4" s="676" t="s">
        <v>639</v>
      </c>
      <c r="JA4" s="584">
        <v>30921.3</v>
      </c>
      <c r="JB4" s="741" t="s">
        <v>2475</v>
      </c>
      <c r="JC4" s="277">
        <f>JC3-JA37</f>
        <v>3741.5263333333169</v>
      </c>
      <c r="JD4" s="676" t="s">
        <v>2715</v>
      </c>
      <c r="JE4" s="272">
        <f>-140000-71000</f>
        <v>-211000</v>
      </c>
      <c r="JF4" s="734" t="s">
        <v>639</v>
      </c>
      <c r="JG4" s="584">
        <v>17271.3</v>
      </c>
      <c r="JH4" s="734" t="s">
        <v>1210</v>
      </c>
      <c r="JI4" s="290">
        <f>JI2-JI5</f>
        <v>-0.18999999996594852</v>
      </c>
      <c r="JJ4" s="734" t="s">
        <v>2715</v>
      </c>
      <c r="JK4" s="272">
        <v>-71000</v>
      </c>
      <c r="JL4" s="664"/>
    </row>
    <row r="5" spans="1:273" x14ac:dyDescent="0.2">
      <c r="A5" s="761"/>
      <c r="B5" s="761"/>
      <c r="E5" s="173" t="s">
        <v>358</v>
      </c>
      <c r="F5" s="177">
        <f>SUM(F15:F56)</f>
        <v>12750</v>
      </c>
      <c r="G5" s="761"/>
      <c r="H5" s="761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22" t="s">
        <v>2646</v>
      </c>
      <c r="IU5" s="534">
        <f>-11-12-13</f>
        <v>-36</v>
      </c>
      <c r="IV5" s="623" t="s">
        <v>1210</v>
      </c>
      <c r="IW5" s="290">
        <f>IW2-IW6</f>
        <v>0.48700000001917942</v>
      </c>
      <c r="IX5" s="728" t="s">
        <v>2728</v>
      </c>
      <c r="IY5" s="276">
        <v>-75000</v>
      </c>
      <c r="IZ5" s="676" t="s">
        <v>2709</v>
      </c>
      <c r="JA5" s="584">
        <v>-71</v>
      </c>
      <c r="JB5" s="676" t="s">
        <v>1210</v>
      </c>
      <c r="JC5" s="290">
        <f>JC2-JC6</f>
        <v>-3.8880000000153814</v>
      </c>
      <c r="JD5" s="679" t="s">
        <v>2728</v>
      </c>
      <c r="JE5" s="276">
        <v>-75000</v>
      </c>
      <c r="JF5" s="734" t="s">
        <v>2709</v>
      </c>
      <c r="JG5" s="584"/>
      <c r="JH5" s="734" t="s">
        <v>358</v>
      </c>
      <c r="JI5" s="277">
        <f>SUM(JI6:JI46)</f>
        <v>9576.8499999999985</v>
      </c>
      <c r="JJ5" s="737" t="s">
        <v>2728</v>
      </c>
      <c r="JK5" s="276">
        <v>-75000</v>
      </c>
      <c r="JL5" s="664"/>
    </row>
    <row r="6" spans="1:273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2729</v>
      </c>
      <c r="IU6" s="534">
        <v>-30</v>
      </c>
      <c r="IV6" s="623" t="s">
        <v>358</v>
      </c>
      <c r="IW6" s="277">
        <f>SUM(IW7:IW40)</f>
        <v>11439.500000000004</v>
      </c>
      <c r="IX6" s="729" t="s">
        <v>2727</v>
      </c>
      <c r="IY6" s="272">
        <v>-4000</v>
      </c>
      <c r="IZ6" s="676" t="s">
        <v>2646</v>
      </c>
      <c r="JA6" s="534">
        <f>-1300</f>
        <v>-1300</v>
      </c>
      <c r="JB6" s="676" t="s">
        <v>358</v>
      </c>
      <c r="JC6" s="277">
        <f>SUM(JC7:JC48)</f>
        <v>11142.731999999998</v>
      </c>
      <c r="JD6" s="680" t="s">
        <v>2727</v>
      </c>
      <c r="JE6" s="272">
        <v>-4000</v>
      </c>
      <c r="JF6" s="734" t="s">
        <v>2646</v>
      </c>
      <c r="JG6" s="534">
        <v>-1401</v>
      </c>
      <c r="JH6" s="195" t="s">
        <v>2794</v>
      </c>
      <c r="JI6" s="633">
        <v>2000.06</v>
      </c>
      <c r="JJ6" s="738" t="s">
        <v>2727</v>
      </c>
      <c r="JK6" s="272">
        <v>-4000</v>
      </c>
      <c r="JL6" s="664"/>
    </row>
    <row r="7" spans="1:273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2562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23" t="s">
        <v>2639</v>
      </c>
      <c r="IU7" s="534">
        <v>100</v>
      </c>
      <c r="IV7" s="355" t="s">
        <v>2485</v>
      </c>
      <c r="IW7" s="61">
        <v>11</v>
      </c>
      <c r="IX7" s="258" t="s">
        <v>2648</v>
      </c>
      <c r="IY7" s="2">
        <f>100*(120+1000+330+310)</f>
        <v>176000</v>
      </c>
      <c r="IZ7" s="722" t="s">
        <v>2729</v>
      </c>
      <c r="JA7" s="534">
        <v>-30</v>
      </c>
      <c r="JB7" s="195" t="s">
        <v>1009</v>
      </c>
      <c r="JC7" s="61">
        <v>1900.03</v>
      </c>
      <c r="JD7" s="258" t="s">
        <v>2648</v>
      </c>
      <c r="JE7" s="2">
        <f>100*(120+1000+330+310)</f>
        <v>176000</v>
      </c>
      <c r="JG7" s="534"/>
      <c r="JH7" s="195" t="s">
        <v>1009</v>
      </c>
      <c r="JI7" s="61">
        <v>1900.04</v>
      </c>
      <c r="JJ7" s="258" t="s">
        <v>2648</v>
      </c>
      <c r="JK7" s="2">
        <f>100*(120+1000+330+310)</f>
        <v>176000</v>
      </c>
      <c r="JL7" s="664"/>
    </row>
    <row r="8" spans="1:273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T8" s="662" t="s">
        <v>2636</v>
      </c>
      <c r="IU8" s="534">
        <f>10582.19+14077.74-24508</f>
        <v>151.93000000000029</v>
      </c>
      <c r="IV8" s="355" t="s">
        <v>1009</v>
      </c>
      <c r="IW8" s="61">
        <v>1900.02</v>
      </c>
      <c r="IX8" s="623" t="s">
        <v>2450</v>
      </c>
      <c r="IY8" s="272">
        <v>360000</v>
      </c>
      <c r="IZ8" s="740"/>
      <c r="JA8" s="534"/>
      <c r="JB8" s="399" t="s">
        <v>2737</v>
      </c>
      <c r="JC8" s="61">
        <v>300.27999999999997</v>
      </c>
      <c r="JD8" s="676" t="s">
        <v>2450</v>
      </c>
      <c r="JE8" s="272">
        <v>590000</v>
      </c>
      <c r="JG8" s="534"/>
      <c r="JH8" s="399" t="s">
        <v>2761</v>
      </c>
      <c r="JI8" s="61"/>
      <c r="JJ8" s="734" t="s">
        <v>2450</v>
      </c>
      <c r="JK8" s="272">
        <v>0</v>
      </c>
      <c r="JL8" s="664">
        <v>45017</v>
      </c>
    </row>
    <row r="9" spans="1:273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2563</v>
      </c>
      <c r="IO9">
        <f>9.9+76.9</f>
        <v>86.800000000000011</v>
      </c>
      <c r="IP9" s="355" t="s">
        <v>2517</v>
      </c>
      <c r="IQ9" s="61">
        <v>2000</v>
      </c>
      <c r="IR9" s="6" t="s">
        <v>2561</v>
      </c>
      <c r="IS9" s="363">
        <v>116</v>
      </c>
      <c r="IU9" s="534"/>
      <c r="IV9" s="355" t="s">
        <v>2635</v>
      </c>
      <c r="IW9" s="61">
        <v>2000</v>
      </c>
      <c r="IX9" s="324" t="s">
        <v>2493</v>
      </c>
      <c r="IY9" s="634">
        <v>-49.87</v>
      </c>
      <c r="IZ9" s="732" t="s">
        <v>2750</v>
      </c>
      <c r="JA9" s="534">
        <f>544.23-533.02</f>
        <v>11.210000000000036</v>
      </c>
      <c r="JB9" s="399" t="s">
        <v>2767</v>
      </c>
      <c r="JC9" s="61">
        <v>600</v>
      </c>
      <c r="JD9" s="324" t="s">
        <v>2493</v>
      </c>
      <c r="JE9" s="634">
        <v>0</v>
      </c>
      <c r="JG9" s="534"/>
      <c r="JH9" s="350" t="s">
        <v>1034</v>
      </c>
      <c r="JI9" s="61">
        <v>1954.8</v>
      </c>
      <c r="JJ9" s="324" t="s">
        <v>2493</v>
      </c>
      <c r="JK9" s="634">
        <v>30</v>
      </c>
      <c r="JL9" s="664"/>
    </row>
    <row r="10" spans="1:273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2568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2562</v>
      </c>
      <c r="IU10" s="534"/>
      <c r="IV10" s="399" t="s">
        <v>2723</v>
      </c>
      <c r="IW10" s="575">
        <v>2000</v>
      </c>
      <c r="IX10" s="627" t="s">
        <v>1637</v>
      </c>
      <c r="IY10" s="633">
        <v>-997</v>
      </c>
      <c r="JA10" s="534"/>
      <c r="JB10" s="399" t="s">
        <v>2768</v>
      </c>
      <c r="JC10" s="575">
        <v>454.04</v>
      </c>
      <c r="JD10" s="679" t="s">
        <v>1637</v>
      </c>
      <c r="JE10" s="634">
        <v>-260</v>
      </c>
      <c r="JF10" s="734" t="s">
        <v>2562</v>
      </c>
      <c r="JG10" s="534"/>
      <c r="JH10" s="350" t="s">
        <v>2762</v>
      </c>
      <c r="JI10" s="576"/>
      <c r="JJ10" s="737" t="s">
        <v>1637</v>
      </c>
      <c r="JK10" s="325">
        <v>-98</v>
      </c>
      <c r="JL10" s="665">
        <v>45016</v>
      </c>
      <c r="JM10" s="325"/>
    </row>
    <row r="11" spans="1:273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2569</v>
      </c>
      <c r="IO11" s="615">
        <v>10</v>
      </c>
      <c r="IP11" s="350" t="s">
        <v>2578</v>
      </c>
      <c r="IQ11" s="61">
        <f>406.6+487.92</f>
        <v>894.52</v>
      </c>
      <c r="IR11" s="66" t="s">
        <v>1512</v>
      </c>
      <c r="IS11" s="272">
        <v>364</v>
      </c>
      <c r="IT11" s="623" t="s">
        <v>2645</v>
      </c>
      <c r="IU11" s="534">
        <v>15.03</v>
      </c>
      <c r="IV11" s="399" t="s">
        <v>2640</v>
      </c>
      <c r="IW11" s="575">
        <v>135.25</v>
      </c>
      <c r="IX11" s="625" t="s">
        <v>1845</v>
      </c>
      <c r="IY11" s="538">
        <v>2600</v>
      </c>
      <c r="IZ11" s="676" t="s">
        <v>2562</v>
      </c>
      <c r="JA11" s="534"/>
      <c r="JB11" s="350" t="s">
        <v>2738</v>
      </c>
      <c r="JC11" s="61">
        <f>259.2+410.4</f>
        <v>669.59999999999991</v>
      </c>
      <c r="JD11" s="677" t="s">
        <v>1845</v>
      </c>
      <c r="JE11" s="559">
        <v>2600</v>
      </c>
      <c r="JF11" s="734" t="s">
        <v>2776</v>
      </c>
      <c r="JG11" s="734">
        <v>233.62</v>
      </c>
      <c r="JH11" s="249" t="s">
        <v>2800</v>
      </c>
      <c r="JI11" s="705">
        <v>496.5</v>
      </c>
      <c r="JJ11" s="735" t="s">
        <v>1845</v>
      </c>
      <c r="JK11" s="272">
        <v>2600</v>
      </c>
      <c r="JL11" s="664"/>
    </row>
    <row r="12" spans="1:273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23" t="s">
        <v>2665</v>
      </c>
      <c r="IU12" s="623">
        <v>25.58</v>
      </c>
      <c r="IV12" s="399" t="s">
        <v>2609</v>
      </c>
      <c r="IW12" s="575">
        <v>378.81</v>
      </c>
      <c r="IX12" s="626" t="s">
        <v>1512</v>
      </c>
      <c r="IY12" s="272">
        <v>983</v>
      </c>
      <c r="IZ12" s="676" t="s">
        <v>2708</v>
      </c>
      <c r="JA12" s="676">
        <v>30</v>
      </c>
      <c r="JB12" s="350" t="s">
        <v>2667</v>
      </c>
      <c r="JC12" s="576">
        <v>52.89</v>
      </c>
      <c r="JD12" s="680" t="s">
        <v>1512</v>
      </c>
      <c r="JE12" s="272">
        <v>635</v>
      </c>
      <c r="JH12" s="249" t="s">
        <v>2798</v>
      </c>
      <c r="JI12" s="705">
        <v>1422.53</v>
      </c>
      <c r="JJ12" s="738" t="s">
        <v>1512</v>
      </c>
      <c r="JK12" s="272">
        <v>793</v>
      </c>
      <c r="JL12" s="664">
        <v>45018</v>
      </c>
      <c r="JM12" s="272"/>
    </row>
    <row r="13" spans="1:273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2574</v>
      </c>
      <c r="IQ13" s="417">
        <f>2750.62/3</f>
        <v>916.87333333333333</v>
      </c>
      <c r="IR13" s="258" t="s">
        <v>2579</v>
      </c>
      <c r="IS13" s="2">
        <v>142</v>
      </c>
      <c r="IV13" s="350" t="s">
        <v>2637</v>
      </c>
      <c r="IW13" s="576">
        <v>170</v>
      </c>
      <c r="IX13" s="626" t="s">
        <v>1513</v>
      </c>
      <c r="IY13" s="272">
        <v>618</v>
      </c>
      <c r="JB13" s="730" t="s">
        <v>2749</v>
      </c>
      <c r="JC13" s="576">
        <f>80-40</f>
        <v>40</v>
      </c>
      <c r="JD13" s="680" t="s">
        <v>1513</v>
      </c>
      <c r="JE13" s="272">
        <v>1778</v>
      </c>
      <c r="JF13" s="734" t="s">
        <v>2438</v>
      </c>
      <c r="JG13" s="556"/>
      <c r="JH13" s="249" t="s">
        <v>2663</v>
      </c>
      <c r="JI13" s="2"/>
      <c r="JJ13" s="738" t="s">
        <v>1513</v>
      </c>
      <c r="JK13" s="272">
        <v>2487</v>
      </c>
      <c r="JL13" s="664">
        <v>45018</v>
      </c>
      <c r="JM13" s="272"/>
    </row>
    <row r="14" spans="1:273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69" t="s">
        <v>2193</v>
      </c>
      <c r="HK14" s="769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2647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2576</v>
      </c>
      <c r="IT14" s="623" t="s">
        <v>2438</v>
      </c>
      <c r="IU14" s="556"/>
      <c r="IV14" s="249" t="s">
        <v>2663</v>
      </c>
      <c r="IW14" s="2">
        <f>IW15*2</f>
        <v>2116.9666666666667</v>
      </c>
      <c r="IX14" s="626" t="s">
        <v>2583</v>
      </c>
      <c r="IY14" s="272">
        <v>24</v>
      </c>
      <c r="IZ14" s="676" t="s">
        <v>2438</v>
      </c>
      <c r="JA14" s="556"/>
      <c r="JB14" s="249" t="s">
        <v>2748</v>
      </c>
      <c r="JC14" s="705">
        <v>26.001000000000001</v>
      </c>
      <c r="JD14" s="680" t="s">
        <v>2746</v>
      </c>
      <c r="JE14" s="272">
        <v>89</v>
      </c>
      <c r="JF14" s="734" t="s">
        <v>2171</v>
      </c>
      <c r="JG14" s="556"/>
      <c r="JH14" s="349" t="s">
        <v>2572</v>
      </c>
      <c r="JI14" s="2"/>
      <c r="JJ14" s="738" t="s">
        <v>2746</v>
      </c>
      <c r="JK14" s="272">
        <v>4000</v>
      </c>
      <c r="JL14" s="664">
        <v>45016</v>
      </c>
    </row>
    <row r="15" spans="1:273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811" t="s">
        <v>1511</v>
      </c>
      <c r="DP15" s="812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2644</v>
      </c>
      <c r="IU15" s="556">
        <v>43</v>
      </c>
      <c r="IV15" s="349" t="s">
        <v>2572</v>
      </c>
      <c r="IW15" s="2">
        <f>3175.45/3</f>
        <v>1058.4833333333333</v>
      </c>
      <c r="IX15" s="532" t="s">
        <v>2494</v>
      </c>
      <c r="IY15" s="246">
        <v>65005</v>
      </c>
      <c r="IZ15" s="676" t="s">
        <v>2171</v>
      </c>
      <c r="JA15" s="556">
        <v>52.000999999999998</v>
      </c>
      <c r="JB15" s="249" t="s">
        <v>1842</v>
      </c>
      <c r="JC15" s="705">
        <v>2000</v>
      </c>
      <c r="JD15" s="532" t="s">
        <v>2494</v>
      </c>
      <c r="JE15" s="272">
        <v>65005</v>
      </c>
      <c r="JF15" s="9" t="s">
        <v>2733</v>
      </c>
      <c r="JG15" s="534"/>
      <c r="JH15" s="349" t="s">
        <v>2741</v>
      </c>
      <c r="JI15" s="2">
        <v>59.36</v>
      </c>
      <c r="JJ15" s="755" t="s">
        <v>2795</v>
      </c>
      <c r="JK15" s="272">
        <f>25000.29+90000.29+140000.29</f>
        <v>255000.87</v>
      </c>
      <c r="JL15" s="664">
        <v>45017</v>
      </c>
      <c r="JM15" s="754"/>
    </row>
    <row r="16" spans="1:273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2733</v>
      </c>
      <c r="IU16" s="534">
        <v>7.57</v>
      </c>
      <c r="IV16" s="349" t="s">
        <v>2589</v>
      </c>
      <c r="IW16" s="61">
        <v>47.54</v>
      </c>
      <c r="IX16" s="626" t="s">
        <v>2580</v>
      </c>
      <c r="IY16" s="663">
        <v>4175</v>
      </c>
      <c r="IZ16" s="9" t="s">
        <v>2733</v>
      </c>
      <c r="JA16" s="742" t="s">
        <v>692</v>
      </c>
      <c r="JB16" s="249" t="s">
        <v>2663</v>
      </c>
      <c r="JC16" s="2">
        <f>JC17*2</f>
        <v>2116.9666666666667</v>
      </c>
      <c r="JD16" s="680" t="s">
        <v>2747</v>
      </c>
      <c r="JE16" s="663">
        <v>3083</v>
      </c>
      <c r="JF16" s="734" t="s">
        <v>1806</v>
      </c>
      <c r="JH16" s="349" t="s">
        <v>2765</v>
      </c>
      <c r="JI16" s="61"/>
      <c r="JJ16" s="738" t="s">
        <v>2747</v>
      </c>
      <c r="JK16" s="272">
        <v>110275</v>
      </c>
      <c r="JL16" s="664">
        <v>45017</v>
      </c>
      <c r="JM16" t="s">
        <v>2808</v>
      </c>
    </row>
    <row r="17" spans="1:273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25" t="s">
        <v>1806</v>
      </c>
      <c r="IU17" s="623">
        <v>13.86</v>
      </c>
      <c r="IV17" s="349" t="s">
        <v>2183</v>
      </c>
      <c r="IW17" s="623">
        <f>30+59.31</f>
        <v>89.31</v>
      </c>
      <c r="IX17" s="675" t="s">
        <v>2664</v>
      </c>
      <c r="IY17" s="272">
        <v>10</v>
      </c>
      <c r="IZ17" s="725" t="s">
        <v>1806</v>
      </c>
      <c r="JA17" s="205" t="s">
        <v>692</v>
      </c>
      <c r="JB17" s="349" t="s">
        <v>2572</v>
      </c>
      <c r="JC17" s="2">
        <f>3175.45/3</f>
        <v>1058.4833333333333</v>
      </c>
      <c r="JD17" s="703" t="s">
        <v>2724</v>
      </c>
      <c r="JE17" s="272">
        <v>0</v>
      </c>
      <c r="JF17" s="734" t="s">
        <v>2638</v>
      </c>
      <c r="JG17" s="534">
        <v>22.41</v>
      </c>
      <c r="JH17" s="349" t="s">
        <v>2766</v>
      </c>
      <c r="JI17" s="734">
        <v>30</v>
      </c>
      <c r="JJ17" s="738" t="s">
        <v>2724</v>
      </c>
      <c r="JK17" s="272">
        <v>0</v>
      </c>
      <c r="JL17" s="664">
        <v>45015</v>
      </c>
    </row>
    <row r="18" spans="1:273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2638</v>
      </c>
      <c r="IU18" s="534">
        <v>14</v>
      </c>
      <c r="IV18" s="349" t="s">
        <v>2668</v>
      </c>
      <c r="IW18" s="577">
        <v>110.02</v>
      </c>
      <c r="IX18" s="627" t="s">
        <v>2575</v>
      </c>
      <c r="IY18" s="623">
        <v>190</v>
      </c>
      <c r="IZ18" s="676" t="s">
        <v>2638</v>
      </c>
      <c r="JA18" s="534">
        <v>16.05</v>
      </c>
      <c r="JB18" s="349" t="s">
        <v>2741</v>
      </c>
      <c r="JC18" s="2" t="s">
        <v>2740</v>
      </c>
      <c r="JD18" s="680" t="s">
        <v>2739</v>
      </c>
      <c r="JE18" s="272">
        <v>10</v>
      </c>
      <c r="JF18" s="734" t="s">
        <v>2757</v>
      </c>
      <c r="JH18" s="349" t="s">
        <v>2666</v>
      </c>
      <c r="JI18" s="577">
        <v>115.37</v>
      </c>
      <c r="JJ18" s="738" t="s">
        <v>2739</v>
      </c>
      <c r="JK18" s="663">
        <v>10</v>
      </c>
      <c r="JL18" s="664">
        <v>45016</v>
      </c>
      <c r="JM18" s="663"/>
    </row>
    <row r="19" spans="1:273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811" t="s">
        <v>1481</v>
      </c>
      <c r="DJ19" s="812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2581</v>
      </c>
      <c r="IO19" s="534">
        <v>5</v>
      </c>
      <c r="IP19" s="349" t="s">
        <v>2560</v>
      </c>
      <c r="IQ19" s="61">
        <f>IM29</f>
        <v>21.35</v>
      </c>
      <c r="IR19" s="1" t="s">
        <v>2481</v>
      </c>
      <c r="IS19">
        <v>170</v>
      </c>
      <c r="IT19" s="412" t="s">
        <v>2675</v>
      </c>
      <c r="IU19" s="552">
        <v>6</v>
      </c>
      <c r="IV19" s="349" t="s">
        <v>2195</v>
      </c>
      <c r="IW19" s="61">
        <f>9</f>
        <v>9</v>
      </c>
      <c r="IX19" s="629" t="s">
        <v>2480</v>
      </c>
      <c r="IY19" s="623">
        <v>2013</v>
      </c>
      <c r="IZ19" s="704" t="s">
        <v>2757</v>
      </c>
      <c r="JA19" s="704">
        <f>5.9+2.12</f>
        <v>8.02</v>
      </c>
      <c r="JB19" s="349" t="s">
        <v>2659</v>
      </c>
      <c r="JC19" s="61">
        <v>110.79</v>
      </c>
      <c r="JD19" s="728" t="s">
        <v>2735</v>
      </c>
      <c r="JE19" s="676">
        <v>130</v>
      </c>
      <c r="JF19" s="411" t="s">
        <v>2803</v>
      </c>
      <c r="JG19" s="552">
        <v>379.39</v>
      </c>
      <c r="JH19" s="349" t="s">
        <v>1202</v>
      </c>
      <c r="JI19" s="61">
        <f>6.5+15</f>
        <v>21.5</v>
      </c>
      <c r="JJ19" s="737" t="s">
        <v>2735</v>
      </c>
      <c r="JK19" s="734">
        <v>60</v>
      </c>
      <c r="JL19" s="664">
        <v>45018</v>
      </c>
    </row>
    <row r="20" spans="1:273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9" t="s">
        <v>2392</v>
      </c>
      <c r="IW20" s="61">
        <f>15.7+10+18.29+10+10+15.09+18.53+17.55+15.01+10+16.79</f>
        <v>156.95999999999998</v>
      </c>
      <c r="IX20" s="628" t="s">
        <v>2506</v>
      </c>
      <c r="IZ20" s="411"/>
      <c r="JA20" s="552"/>
      <c r="JB20" s="349" t="s">
        <v>2765</v>
      </c>
      <c r="JC20" s="61">
        <v>109.57</v>
      </c>
      <c r="JD20" s="679" t="s">
        <v>2734</v>
      </c>
      <c r="JF20" s="411" t="s">
        <v>2804</v>
      </c>
      <c r="JG20" s="734">
        <v>442.61</v>
      </c>
      <c r="JH20" s="349" t="s">
        <v>2195</v>
      </c>
      <c r="JI20" s="61">
        <f>9</f>
        <v>9</v>
      </c>
      <c r="JJ20" s="737" t="s">
        <v>2734</v>
      </c>
    </row>
    <row r="21" spans="1:273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2549</v>
      </c>
      <c r="IQ21" s="61">
        <v>30</v>
      </c>
      <c r="IR21" s="7" t="s">
        <v>2480</v>
      </c>
      <c r="IS21">
        <v>2007</v>
      </c>
      <c r="IT21" s="412"/>
      <c r="IV21" s="341" t="s">
        <v>2649</v>
      </c>
      <c r="IW21" s="61">
        <v>80</v>
      </c>
      <c r="IX21" s="628"/>
      <c r="IZ21" s="727"/>
      <c r="JA21" s="727"/>
      <c r="JB21" s="349" t="s">
        <v>2769</v>
      </c>
      <c r="JC21" s="61">
        <f>10+30</f>
        <v>40</v>
      </c>
      <c r="JD21" s="681" t="s">
        <v>2480</v>
      </c>
      <c r="JE21" s="676">
        <v>1000</v>
      </c>
      <c r="JF21" s="411"/>
      <c r="JG21" s="552"/>
      <c r="JH21" s="349" t="s">
        <v>2490</v>
      </c>
      <c r="JI21" s="61"/>
      <c r="JJ21" s="739" t="s">
        <v>2480</v>
      </c>
      <c r="JK21" s="734">
        <v>1000</v>
      </c>
      <c r="JL21" s="664"/>
    </row>
    <row r="22" spans="1:273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804" t="s">
        <v>513</v>
      </c>
      <c r="N22" s="804"/>
      <c r="Q22" s="169" t="s">
        <v>371</v>
      </c>
      <c r="S22" s="804" t="s">
        <v>513</v>
      </c>
      <c r="T22" s="804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801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758" t="s">
        <v>2178</v>
      </c>
      <c r="IU22" s="758"/>
      <c r="IV22" s="341" t="s">
        <v>2641</v>
      </c>
      <c r="IW22" s="61">
        <v>42.51</v>
      </c>
      <c r="IX22" s="628" t="s">
        <v>2449</v>
      </c>
      <c r="IZ22" s="411"/>
      <c r="JA22" s="552"/>
      <c r="JB22" s="349" t="s">
        <v>2666</v>
      </c>
      <c r="JC22" s="577">
        <v>115.37</v>
      </c>
      <c r="JD22" s="678"/>
      <c r="JH22" s="349" t="s">
        <v>2392</v>
      </c>
      <c r="JI22" s="61">
        <f>15.55+10+15.6+17.36+16.4</f>
        <v>74.91</v>
      </c>
      <c r="JJ22" s="736" t="s">
        <v>2498</v>
      </c>
    </row>
    <row r="23" spans="1:273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802" t="s">
        <v>997</v>
      </c>
      <c r="N23" s="802"/>
      <c r="Q23" s="169" t="s">
        <v>375</v>
      </c>
      <c r="S23" s="802" t="s">
        <v>997</v>
      </c>
      <c r="T23" s="802"/>
      <c r="W23" s="248" t="s">
        <v>1026</v>
      </c>
      <c r="X23" s="145">
        <v>0</v>
      </c>
      <c r="Y23" s="804" t="s">
        <v>513</v>
      </c>
      <c r="Z23" s="804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801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58" t="s">
        <v>2178</v>
      </c>
      <c r="HK23" s="758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58" t="s">
        <v>2178</v>
      </c>
      <c r="HW23" s="758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77">
        <f>SUM(IW7:IW9)</f>
        <v>3911.02</v>
      </c>
      <c r="IV23" s="341" t="s">
        <v>2657</v>
      </c>
      <c r="IW23" s="61">
        <v>45.98</v>
      </c>
      <c r="IX23" s="674"/>
      <c r="IY23" s="635"/>
      <c r="IZ23" s="411"/>
      <c r="JA23" s="552"/>
      <c r="JB23" s="349" t="s">
        <v>1202</v>
      </c>
      <c r="JC23" s="61">
        <f>13+30</f>
        <v>43</v>
      </c>
      <c r="JD23" s="678"/>
      <c r="JF23" s="411"/>
      <c r="JG23" s="552"/>
      <c r="JH23" s="341" t="s">
        <v>2779</v>
      </c>
      <c r="JI23" s="61">
        <v>10</v>
      </c>
      <c r="JJ23" s="736" t="s">
        <v>2449</v>
      </c>
    </row>
    <row r="24" spans="1:273" x14ac:dyDescent="0.2">
      <c r="A24" s="804" t="s">
        <v>513</v>
      </c>
      <c r="B24" s="804"/>
      <c r="E24" s="167" t="s">
        <v>237</v>
      </c>
      <c r="F24" s="169"/>
      <c r="G24" s="804" t="s">
        <v>513</v>
      </c>
      <c r="H24" s="804"/>
      <c r="K24" s="248" t="s">
        <v>1026</v>
      </c>
      <c r="L24" s="145">
        <v>0</v>
      </c>
      <c r="M24" s="779"/>
      <c r="N24" s="779"/>
      <c r="Q24" s="169" t="s">
        <v>1063</v>
      </c>
      <c r="S24" s="779"/>
      <c r="T24" s="779"/>
      <c r="W24" s="248" t="s">
        <v>1034</v>
      </c>
      <c r="X24" s="208">
        <v>0</v>
      </c>
      <c r="Y24" s="802" t="s">
        <v>997</v>
      </c>
      <c r="Z24" s="802"/>
      <c r="AC24"/>
      <c r="AE24" s="804" t="s">
        <v>513</v>
      </c>
      <c r="AF24" s="804"/>
      <c r="AI24"/>
      <c r="AK24" s="804" t="s">
        <v>513</v>
      </c>
      <c r="AL24" s="804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800" t="s">
        <v>1543</v>
      </c>
      <c r="EF24" s="800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801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801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77">
        <f>SUM(IW14:IW14)</f>
        <v>2116.9666666666667</v>
      </c>
      <c r="IV24" s="341" t="s">
        <v>2660</v>
      </c>
      <c r="IW24" s="61">
        <v>45.2</v>
      </c>
      <c r="IX24" s="546"/>
      <c r="IZ24" s="411"/>
      <c r="JA24" s="552"/>
      <c r="JB24" s="349" t="s">
        <v>2195</v>
      </c>
      <c r="JC24" s="61">
        <f>9+14.32</f>
        <v>23.32</v>
      </c>
      <c r="JD24" s="706"/>
      <c r="JF24" s="411"/>
      <c r="JG24" s="552"/>
      <c r="JH24" s="341" t="s">
        <v>2807</v>
      </c>
      <c r="JI24" s="61">
        <v>30</v>
      </c>
      <c r="JJ24" s="753" t="s">
        <v>2039</v>
      </c>
      <c r="JK24" s="734">
        <v>253.8</v>
      </c>
    </row>
    <row r="25" spans="1:273" x14ac:dyDescent="0.2">
      <c r="A25" s="802" t="s">
        <v>997</v>
      </c>
      <c r="B25" s="802"/>
      <c r="E25" s="167" t="s">
        <v>139</v>
      </c>
      <c r="F25" s="169"/>
      <c r="G25" s="802" t="s">
        <v>997</v>
      </c>
      <c r="H25" s="802"/>
      <c r="K25" s="248" t="s">
        <v>1034</v>
      </c>
      <c r="L25" s="208">
        <v>0</v>
      </c>
      <c r="M25" s="779"/>
      <c r="N25" s="779"/>
      <c r="Q25" s="248" t="s">
        <v>1036</v>
      </c>
      <c r="R25" s="145">
        <v>0</v>
      </c>
      <c r="S25" s="779"/>
      <c r="T25" s="779"/>
      <c r="W25" s="248" t="s">
        <v>1057</v>
      </c>
      <c r="X25" s="145">
        <v>910.17</v>
      </c>
      <c r="Y25" s="779"/>
      <c r="Z25" s="779"/>
      <c r="AC25" s="252" t="s">
        <v>1090</v>
      </c>
      <c r="AD25" s="145">
        <v>90</v>
      </c>
      <c r="AE25" s="802" t="s">
        <v>997</v>
      </c>
      <c r="AF25" s="802"/>
      <c r="AI25" s="249" t="s">
        <v>1108</v>
      </c>
      <c r="AJ25" s="145">
        <v>30</v>
      </c>
      <c r="AK25" s="802" t="s">
        <v>997</v>
      </c>
      <c r="AL25" s="802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802"/>
      <c r="BH25" s="802"/>
      <c r="BK25" s="270" t="s">
        <v>1229</v>
      </c>
      <c r="BL25" s="208">
        <v>48.54</v>
      </c>
      <c r="BM25" s="802"/>
      <c r="BN25" s="802"/>
      <c r="BQ25" s="270" t="s">
        <v>1058</v>
      </c>
      <c r="BR25" s="208">
        <v>50.15</v>
      </c>
      <c r="BS25" s="802" t="s">
        <v>1252</v>
      </c>
      <c r="BT25" s="802"/>
      <c r="BW25" s="270" t="s">
        <v>1058</v>
      </c>
      <c r="BX25" s="208">
        <v>48.54</v>
      </c>
      <c r="BY25" s="802"/>
      <c r="BZ25" s="802"/>
      <c r="CC25" s="270" t="s">
        <v>1058</v>
      </c>
      <c r="CD25" s="208">
        <v>142.91</v>
      </c>
      <c r="CE25" s="802"/>
      <c r="CF25" s="802"/>
      <c r="CI25" s="270" t="s">
        <v>1319</v>
      </c>
      <c r="CJ25" s="208">
        <v>35.049999999999997</v>
      </c>
      <c r="CK25" s="779"/>
      <c r="CL25" s="779"/>
      <c r="CO25" s="270" t="s">
        <v>1293</v>
      </c>
      <c r="CP25" s="208">
        <v>153.41</v>
      </c>
      <c r="CQ25" s="779" t="s">
        <v>1334</v>
      </c>
      <c r="CR25" s="779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801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58" t="s">
        <v>2178</v>
      </c>
      <c r="IC25" s="758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2564</v>
      </c>
      <c r="IT25" s="366" t="s">
        <v>1399</v>
      </c>
      <c r="IU25" s="2">
        <f>SUM(IW10:IW12)</f>
        <v>2514.06</v>
      </c>
      <c r="IV25" s="341" t="s">
        <v>2658</v>
      </c>
      <c r="IW25" s="61">
        <v>54.7</v>
      </c>
      <c r="IX25" s="546"/>
      <c r="IY25" s="636"/>
      <c r="IZ25" s="412"/>
      <c r="JA25" s="722"/>
      <c r="JB25" s="349" t="s">
        <v>2490</v>
      </c>
      <c r="JC25" s="61">
        <v>96</v>
      </c>
      <c r="JD25" s="721"/>
      <c r="JE25" s="720"/>
      <c r="JF25" s="412"/>
      <c r="JH25" s="341" t="s">
        <v>2771</v>
      </c>
      <c r="JI25" s="61">
        <v>55.72</v>
      </c>
      <c r="JJ25" s="756" t="s">
        <v>2796</v>
      </c>
      <c r="JK25" s="734">
        <v>155000</v>
      </c>
    </row>
    <row r="26" spans="1:273" x14ac:dyDescent="0.2">
      <c r="A26" s="779"/>
      <c r="B26" s="779"/>
      <c r="E26" s="201" t="s">
        <v>368</v>
      </c>
      <c r="F26" s="173"/>
      <c r="G26" s="779"/>
      <c r="H26" s="779"/>
      <c r="K26" s="248" t="s">
        <v>1025</v>
      </c>
      <c r="L26" s="145">
        <f>910+40</f>
        <v>950</v>
      </c>
      <c r="M26" s="779"/>
      <c r="N26" s="779"/>
      <c r="Q26" s="248" t="s">
        <v>1033</v>
      </c>
      <c r="R26" s="145">
        <v>0</v>
      </c>
      <c r="S26" s="779"/>
      <c r="T26" s="779"/>
      <c r="W26" s="146" t="s">
        <v>1092</v>
      </c>
      <c r="X26" s="145">
        <v>110.58</v>
      </c>
      <c r="Y26" s="779"/>
      <c r="Z26" s="779"/>
      <c r="AE26" s="779"/>
      <c r="AF26" s="779"/>
      <c r="AK26" s="779"/>
      <c r="AL26" s="779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79"/>
      <c r="AX26" s="779"/>
      <c r="AY26" s="146"/>
      <c r="AZ26" s="208"/>
      <c r="BA26" s="779"/>
      <c r="BB26" s="779"/>
      <c r="BE26" s="146" t="s">
        <v>1202</v>
      </c>
      <c r="BF26" s="208">
        <f>6.5*2</f>
        <v>13</v>
      </c>
      <c r="BG26" s="779"/>
      <c r="BH26" s="779"/>
      <c r="BK26" s="270" t="s">
        <v>1202</v>
      </c>
      <c r="BL26" s="208">
        <f>6.5*2</f>
        <v>13</v>
      </c>
      <c r="BM26" s="779"/>
      <c r="BN26" s="779"/>
      <c r="BQ26" s="270" t="s">
        <v>1202</v>
      </c>
      <c r="BR26" s="208">
        <v>13</v>
      </c>
      <c r="BS26" s="779"/>
      <c r="BT26" s="779"/>
      <c r="BW26" s="270" t="s">
        <v>1202</v>
      </c>
      <c r="BX26" s="208">
        <v>13</v>
      </c>
      <c r="BY26" s="779"/>
      <c r="BZ26" s="779"/>
      <c r="CC26" s="270" t="s">
        <v>1202</v>
      </c>
      <c r="CD26" s="208">
        <v>13</v>
      </c>
      <c r="CE26" s="779"/>
      <c r="CF26" s="779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817" t="s">
        <v>1543</v>
      </c>
      <c r="DZ26" s="818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800" t="s">
        <v>1543</v>
      </c>
      <c r="ES26" s="800"/>
      <c r="ET26" s="1" t="s">
        <v>1710</v>
      </c>
      <c r="EU26" s="276">
        <v>20000</v>
      </c>
      <c r="EW26" s="801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2">
        <f>SUM(IW13:IW13)</f>
        <v>170</v>
      </c>
      <c r="IV26" s="623" t="s">
        <v>2504</v>
      </c>
      <c r="IW26" s="78">
        <f>2+59+11+23</f>
        <v>95</v>
      </c>
      <c r="IX26" s="628"/>
      <c r="IZ26" s="722"/>
      <c r="JA26" s="722"/>
      <c r="JB26" s="349" t="s">
        <v>2392</v>
      </c>
      <c r="JC26" s="61">
        <f>17.98+13.67+17.8+15.37+10+15+12.85</f>
        <v>102.67</v>
      </c>
      <c r="JH26" s="341" t="s">
        <v>2772</v>
      </c>
      <c r="JI26" s="61">
        <v>44.8</v>
      </c>
      <c r="JJ26" s="757" t="s">
        <v>2799</v>
      </c>
      <c r="JK26" s="734">
        <v>30</v>
      </c>
    </row>
    <row r="27" spans="1:273" x14ac:dyDescent="0.2">
      <c r="A27" s="779"/>
      <c r="B27" s="779"/>
      <c r="F27" s="197"/>
      <c r="G27" s="779"/>
      <c r="H27" s="779"/>
      <c r="K27"/>
      <c r="M27" s="807" t="s">
        <v>512</v>
      </c>
      <c r="N27" s="807"/>
      <c r="Q27" s="248" t="s">
        <v>1026</v>
      </c>
      <c r="R27" s="145">
        <v>0</v>
      </c>
      <c r="S27" s="807" t="s">
        <v>512</v>
      </c>
      <c r="T27" s="807"/>
      <c r="W27" s="146" t="s">
        <v>1058</v>
      </c>
      <c r="X27" s="145">
        <v>60.75</v>
      </c>
      <c r="Y27" s="779"/>
      <c r="Z27" s="779"/>
      <c r="AC27" s="222" t="s">
        <v>1099</v>
      </c>
      <c r="AD27" s="222"/>
      <c r="AE27" s="807" t="s">
        <v>512</v>
      </c>
      <c r="AF27" s="807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800" t="s">
        <v>1543</v>
      </c>
      <c r="EY27" s="800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58" t="s">
        <v>2178</v>
      </c>
      <c r="HQ27" s="758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2">
        <f>SUM(IW15:IW20)</f>
        <v>1471.3133333333333</v>
      </c>
      <c r="IV27" s="9" t="s">
        <v>2204</v>
      </c>
      <c r="IW27" s="577">
        <f>70+106+167+164+22.7</f>
        <v>529.70000000000005</v>
      </c>
      <c r="IX27" s="623" t="s">
        <v>512</v>
      </c>
      <c r="IZ27" s="411"/>
      <c r="JA27" s="552"/>
      <c r="JB27" s="341" t="s">
        <v>2753</v>
      </c>
      <c r="JC27" s="61">
        <v>10</v>
      </c>
      <c r="JD27" s="676" t="s">
        <v>512</v>
      </c>
      <c r="JF27" s="744" t="s">
        <v>2773</v>
      </c>
      <c r="JG27" s="744"/>
      <c r="JH27" s="341" t="s">
        <v>2802</v>
      </c>
      <c r="JI27" s="576" t="s">
        <v>2801</v>
      </c>
    </row>
    <row r="28" spans="1:273" x14ac:dyDescent="0.2">
      <c r="A28" s="779"/>
      <c r="B28" s="779"/>
      <c r="E28" s="196" t="s">
        <v>366</v>
      </c>
      <c r="F28" s="197"/>
      <c r="G28" s="779"/>
      <c r="H28" s="779"/>
      <c r="K28" s="146" t="s">
        <v>1024</v>
      </c>
      <c r="L28" s="145">
        <f>60</f>
        <v>60</v>
      </c>
      <c r="M28" s="807" t="s">
        <v>999</v>
      </c>
      <c r="N28" s="807"/>
      <c r="Q28" s="248" t="s">
        <v>1080</v>
      </c>
      <c r="R28" s="208">
        <v>200</v>
      </c>
      <c r="S28" s="807" t="s">
        <v>999</v>
      </c>
      <c r="T28" s="807"/>
      <c r="W28" s="146" t="s">
        <v>1023</v>
      </c>
      <c r="X28" s="145">
        <v>61.35</v>
      </c>
      <c r="Y28" s="807" t="s">
        <v>512</v>
      </c>
      <c r="Z28" s="807"/>
      <c r="AC28" s="222" t="s">
        <v>1095</v>
      </c>
      <c r="AD28" s="222">
        <f>53+207+63</f>
        <v>323</v>
      </c>
      <c r="AE28" s="807" t="s">
        <v>999</v>
      </c>
      <c r="AF28" s="807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800" t="s">
        <v>1754</v>
      </c>
      <c r="FE28" s="800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2">
        <f>SUM(IW21:IW25)</f>
        <v>268.39</v>
      </c>
      <c r="IV28" s="422">
        <v>22.7</v>
      </c>
      <c r="IW28" s="577"/>
      <c r="IX28" s="9" t="s">
        <v>1873</v>
      </c>
      <c r="IZ28" s="411"/>
      <c r="JA28" s="552"/>
      <c r="JB28" s="341" t="s">
        <v>2759</v>
      </c>
      <c r="JC28" s="61">
        <v>7</v>
      </c>
      <c r="JD28" s="676" t="s">
        <v>93</v>
      </c>
      <c r="JF28" s="195" t="s">
        <v>1966</v>
      </c>
      <c r="JG28" s="290">
        <f>SUM(JI6:JI7)</f>
        <v>3900.1</v>
      </c>
      <c r="JH28" s="341" t="s">
        <v>2806</v>
      </c>
      <c r="JI28" s="576">
        <f>8.65*2</f>
        <v>17.3</v>
      </c>
      <c r="JJ28" s="734" t="s">
        <v>512</v>
      </c>
    </row>
    <row r="29" spans="1:273" x14ac:dyDescent="0.2">
      <c r="A29" s="807" t="s">
        <v>512</v>
      </c>
      <c r="B29" s="807"/>
      <c r="E29" s="196" t="s">
        <v>282</v>
      </c>
      <c r="F29" s="197"/>
      <c r="G29" s="807" t="s">
        <v>512</v>
      </c>
      <c r="H29" s="807"/>
      <c r="K29" s="146" t="s">
        <v>1023</v>
      </c>
      <c r="L29" s="145">
        <v>0</v>
      </c>
      <c r="M29" s="806" t="s">
        <v>93</v>
      </c>
      <c r="N29" s="806"/>
      <c r="Q29" s="248" t="s">
        <v>1057</v>
      </c>
      <c r="R29" s="145">
        <v>0</v>
      </c>
      <c r="S29" s="806" t="s">
        <v>93</v>
      </c>
      <c r="T29" s="806"/>
      <c r="W29" s="146" t="s">
        <v>1022</v>
      </c>
      <c r="X29" s="145">
        <v>64</v>
      </c>
      <c r="Y29" s="807" t="s">
        <v>999</v>
      </c>
      <c r="Z29" s="807"/>
      <c r="AC29" s="222" t="s">
        <v>1096</v>
      </c>
      <c r="AD29" s="222">
        <f>63+46</f>
        <v>109</v>
      </c>
      <c r="AE29" s="806" t="s">
        <v>93</v>
      </c>
      <c r="AF29" s="806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800" t="s">
        <v>1543</v>
      </c>
      <c r="EM29" s="800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2634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396" t="s">
        <v>1418</v>
      </c>
      <c r="IW29" s="418">
        <f>IS19+IU30-IY18</f>
        <v>70</v>
      </c>
      <c r="IX29" s="623" t="s">
        <v>93</v>
      </c>
      <c r="IZ29" s="412"/>
      <c r="JA29" s="704"/>
      <c r="JB29" s="341" t="s">
        <v>2674</v>
      </c>
      <c r="JC29" s="61">
        <v>34</v>
      </c>
      <c r="JD29" s="676" t="s">
        <v>1041</v>
      </c>
      <c r="JF29" s="249" t="s">
        <v>1967</v>
      </c>
      <c r="JG29" s="290">
        <f>SUM(JI11:JI13)</f>
        <v>1919.03</v>
      </c>
      <c r="JH29" s="341" t="s">
        <v>1870</v>
      </c>
      <c r="JI29" s="576"/>
      <c r="JJ29" s="734" t="s">
        <v>93</v>
      </c>
    </row>
    <row r="30" spans="1:273" x14ac:dyDescent="0.2">
      <c r="A30" s="807" t="s">
        <v>999</v>
      </c>
      <c r="B30" s="807"/>
      <c r="E30" s="196" t="s">
        <v>378</v>
      </c>
      <c r="F30" s="197"/>
      <c r="G30" s="807" t="s">
        <v>999</v>
      </c>
      <c r="H30" s="807"/>
      <c r="K30" s="146" t="s">
        <v>1022</v>
      </c>
      <c r="L30" s="145">
        <v>64</v>
      </c>
      <c r="M30" s="779" t="s">
        <v>391</v>
      </c>
      <c r="N30" s="779"/>
      <c r="Q30"/>
      <c r="S30" s="779" t="s">
        <v>391</v>
      </c>
      <c r="T30" s="779"/>
      <c r="W30" s="146" t="s">
        <v>1021</v>
      </c>
      <c r="X30" s="145">
        <v>100.01</v>
      </c>
      <c r="Y30" s="806" t="s">
        <v>93</v>
      </c>
      <c r="Z30" s="806"/>
      <c r="AC30" s="145" t="s">
        <v>1094</v>
      </c>
      <c r="AD30" s="145">
        <v>65</v>
      </c>
      <c r="AE30" s="779" t="s">
        <v>391</v>
      </c>
      <c r="AF30" s="779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800" t="s">
        <v>1754</v>
      </c>
      <c r="FK30" s="800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2585</v>
      </c>
      <c r="IQ30" s="61" t="s">
        <v>2586</v>
      </c>
      <c r="IR30" s="585"/>
      <c r="IS30" s="570"/>
      <c r="IT30" s="624" t="s">
        <v>2587</v>
      </c>
      <c r="IU30" s="357">
        <v>90</v>
      </c>
      <c r="IV30" s="419">
        <v>5</v>
      </c>
      <c r="IW30" s="586" t="s">
        <v>2584</v>
      </c>
      <c r="IX30" s="623" t="s">
        <v>2407</v>
      </c>
      <c r="JB30" s="341" t="s">
        <v>2710</v>
      </c>
      <c r="JC30" s="61">
        <v>64.75</v>
      </c>
      <c r="JF30" s="354" t="s">
        <v>1399</v>
      </c>
      <c r="JG30" s="745">
        <f>SUM(JI8:JI8)</f>
        <v>0</v>
      </c>
      <c r="JH30" s="341" t="s">
        <v>1870</v>
      </c>
      <c r="JI30" s="576"/>
      <c r="JJ30" s="734" t="s">
        <v>1041</v>
      </c>
    </row>
    <row r="31" spans="1:273" ht="12.75" customHeight="1" x14ac:dyDescent="0.2">
      <c r="A31" s="806" t="s">
        <v>93</v>
      </c>
      <c r="B31" s="806"/>
      <c r="E31" s="196" t="s">
        <v>1014</v>
      </c>
      <c r="F31" s="173"/>
      <c r="G31" s="806" t="s">
        <v>93</v>
      </c>
      <c r="H31" s="806"/>
      <c r="K31" s="146" t="s">
        <v>1021</v>
      </c>
      <c r="L31" s="145">
        <v>50.01</v>
      </c>
      <c r="M31" s="805" t="s">
        <v>1008</v>
      </c>
      <c r="N31" s="805"/>
      <c r="Q31" s="146" t="s">
        <v>1059</v>
      </c>
      <c r="R31" s="145">
        <v>26</v>
      </c>
      <c r="S31" s="805" t="s">
        <v>1008</v>
      </c>
      <c r="T31" s="805"/>
      <c r="W31"/>
      <c r="Y31" s="779" t="s">
        <v>391</v>
      </c>
      <c r="Z31" s="779"/>
      <c r="AC31" s="145" t="s">
        <v>1097</v>
      </c>
      <c r="AD31" s="145">
        <v>10</v>
      </c>
      <c r="AE31" s="805" t="s">
        <v>1008</v>
      </c>
      <c r="AF31" s="805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2548</v>
      </c>
      <c r="IQ31" s="61">
        <v>42.17</v>
      </c>
      <c r="IR31" s="587"/>
      <c r="IV31" s="419">
        <v>50</v>
      </c>
      <c r="IW31" s="586" t="s">
        <v>1835</v>
      </c>
      <c r="IX31" s="623" t="s">
        <v>1681</v>
      </c>
      <c r="IZ31" s="411"/>
      <c r="JA31" s="552"/>
      <c r="JB31" s="726" t="s">
        <v>2731</v>
      </c>
      <c r="JC31" s="576">
        <f>3.3+7.001</f>
        <v>10.301</v>
      </c>
      <c r="JF31" s="350" t="s">
        <v>2173</v>
      </c>
      <c r="JG31" s="745">
        <f>SUM(JI9:JI10)</f>
        <v>1954.8</v>
      </c>
      <c r="JH31" s="341" t="s">
        <v>1870</v>
      </c>
      <c r="JI31" s="61"/>
    </row>
    <row r="32" spans="1:273" x14ac:dyDescent="0.2">
      <c r="A32" s="779" t="s">
        <v>391</v>
      </c>
      <c r="B32" s="779"/>
      <c r="E32" s="173"/>
      <c r="F32" s="173"/>
      <c r="G32" s="779" t="s">
        <v>391</v>
      </c>
      <c r="H32" s="779"/>
      <c r="K32"/>
      <c r="M32" s="802" t="s">
        <v>243</v>
      </c>
      <c r="N32" s="802"/>
      <c r="Q32" s="146" t="s">
        <v>1058</v>
      </c>
      <c r="R32" s="145">
        <v>55</v>
      </c>
      <c r="S32" s="802" t="s">
        <v>243</v>
      </c>
      <c r="T32" s="802"/>
      <c r="W32" s="247" t="s">
        <v>1079</v>
      </c>
      <c r="X32" s="247">
        <v>0</v>
      </c>
      <c r="Y32" s="805" t="s">
        <v>1008</v>
      </c>
      <c r="Z32" s="805"/>
      <c r="AE32" s="802" t="s">
        <v>243</v>
      </c>
      <c r="AF32" s="802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810" t="s">
        <v>1445</v>
      </c>
      <c r="DP32" s="810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2634</v>
      </c>
      <c r="IC32" s="659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58" t="s">
        <v>2178</v>
      </c>
      <c r="IO32" s="758"/>
      <c r="IP32" s="341" t="s">
        <v>2577</v>
      </c>
      <c r="IQ32" s="61">
        <v>6.5</v>
      </c>
      <c r="IR32" t="s">
        <v>512</v>
      </c>
      <c r="IV32" s="419">
        <v>10</v>
      </c>
      <c r="IW32" s="586" t="s">
        <v>2662</v>
      </c>
      <c r="IZ32" s="411"/>
      <c r="JA32" s="552"/>
      <c r="JB32" s="726" t="s">
        <v>2732</v>
      </c>
      <c r="JC32" s="576">
        <v>74.959999999999994</v>
      </c>
      <c r="JF32" s="352" t="s">
        <v>2174</v>
      </c>
      <c r="JG32" s="421">
        <f>SUM(JI14:JI22)</f>
        <v>310.14</v>
      </c>
      <c r="JH32" s="734" t="s">
        <v>2774</v>
      </c>
      <c r="JI32" s="78">
        <v>41</v>
      </c>
    </row>
    <row r="33" spans="1:269" x14ac:dyDescent="0.2">
      <c r="A33" s="805" t="s">
        <v>1008</v>
      </c>
      <c r="B33" s="805"/>
      <c r="C33" s="3"/>
      <c r="D33" s="3"/>
      <c r="E33" s="250"/>
      <c r="F33" s="250"/>
      <c r="G33" s="805" t="s">
        <v>1008</v>
      </c>
      <c r="H33" s="805"/>
      <c r="K33" s="247" t="s">
        <v>1028</v>
      </c>
      <c r="L33" s="247"/>
      <c r="M33" s="808" t="s">
        <v>1041</v>
      </c>
      <c r="N33" s="808"/>
      <c r="Q33" s="146" t="s">
        <v>1023</v>
      </c>
      <c r="R33" s="145">
        <v>77.239999999999995</v>
      </c>
      <c r="S33" s="808" t="s">
        <v>1041</v>
      </c>
      <c r="T33" s="808"/>
      <c r="Y33" s="802" t="s">
        <v>243</v>
      </c>
      <c r="Z33" s="802"/>
      <c r="AC33" s="200" t="s">
        <v>1019</v>
      </c>
      <c r="AD33" s="145">
        <v>350</v>
      </c>
      <c r="AE33" s="808" t="s">
        <v>1041</v>
      </c>
      <c r="AF33" s="808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813" t="s">
        <v>1418</v>
      </c>
      <c r="DB33" s="814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667" t="s">
        <v>2643</v>
      </c>
      <c r="IW33" s="575">
        <v>70</v>
      </c>
      <c r="IZ33" s="412"/>
      <c r="JB33" s="726" t="s">
        <v>2758</v>
      </c>
      <c r="JC33" s="576">
        <v>74.13</v>
      </c>
      <c r="JF33" s="341" t="s">
        <v>2172</v>
      </c>
      <c r="JG33" s="734">
        <f>SUM(JI23:JI31)</f>
        <v>157.82</v>
      </c>
      <c r="JH33" s="9" t="s">
        <v>2204</v>
      </c>
      <c r="JI33" s="577">
        <f>158+69</f>
        <v>227</v>
      </c>
    </row>
    <row r="34" spans="1:269" x14ac:dyDescent="0.2">
      <c r="A34" s="802" t="s">
        <v>243</v>
      </c>
      <c r="B34" s="802"/>
      <c r="E34" s="173"/>
      <c r="F34" s="173"/>
      <c r="G34" s="802" t="s">
        <v>243</v>
      </c>
      <c r="H34" s="802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808" t="s">
        <v>1041</v>
      </c>
      <c r="Z34" s="808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2621</v>
      </c>
      <c r="IW34" s="623">
        <v>8.67</v>
      </c>
      <c r="IZ34" s="758" t="s">
        <v>2178</v>
      </c>
      <c r="JA34" s="758"/>
      <c r="JB34" s="726" t="s">
        <v>2763</v>
      </c>
      <c r="JC34" s="576">
        <v>24.71</v>
      </c>
      <c r="JH34" s="422">
        <v>23.85</v>
      </c>
      <c r="JI34" s="577"/>
    </row>
    <row r="35" spans="1:269" ht="14.25" customHeight="1" x14ac:dyDescent="0.25">
      <c r="A35" s="809" t="s">
        <v>348</v>
      </c>
      <c r="B35" s="809"/>
      <c r="E35" s="190" t="s">
        <v>374</v>
      </c>
      <c r="F35" s="173"/>
      <c r="G35" s="809" t="s">
        <v>348</v>
      </c>
      <c r="H35" s="809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2621</v>
      </c>
      <c r="IW35" s="576">
        <v>23.08</v>
      </c>
      <c r="IZ35" s="195" t="s">
        <v>1966</v>
      </c>
      <c r="JA35" s="277">
        <f>SUM(JC7:JC7)</f>
        <v>1900.03</v>
      </c>
      <c r="JB35" s="341" t="s">
        <v>2756</v>
      </c>
      <c r="JC35" s="61">
        <v>55</v>
      </c>
      <c r="JH35" s="396" t="s">
        <v>1418</v>
      </c>
      <c r="JI35" s="418">
        <f>JE19+JG37-JK19</f>
        <v>70</v>
      </c>
    </row>
    <row r="36" spans="1:269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2631</v>
      </c>
      <c r="IW36" s="576">
        <v>6.37</v>
      </c>
      <c r="IZ36" s="249" t="s">
        <v>1967</v>
      </c>
      <c r="JA36" s="277">
        <f>SUM(JC14:JC16)</f>
        <v>4142.9676666666664</v>
      </c>
      <c r="JB36" s="676" t="s">
        <v>2775</v>
      </c>
      <c r="JC36" s="78">
        <v>16.87</v>
      </c>
      <c r="JH36" s="419">
        <v>8</v>
      </c>
      <c r="JI36" s="586" t="s">
        <v>2770</v>
      </c>
    </row>
    <row r="37" spans="1:269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815" t="s">
        <v>1543</v>
      </c>
      <c r="DT37" s="816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2642</v>
      </c>
      <c r="IW37" s="576">
        <v>104.35</v>
      </c>
      <c r="IZ37" s="354" t="s">
        <v>1399</v>
      </c>
      <c r="JA37" s="2">
        <f>SUM(JC8:JC10)</f>
        <v>1354.32</v>
      </c>
      <c r="JB37" s="9" t="s">
        <v>2204</v>
      </c>
      <c r="JC37" s="577">
        <f>204+76+114+103</f>
        <v>497</v>
      </c>
      <c r="JF37" s="743" t="s">
        <v>2703</v>
      </c>
      <c r="JG37" s="357">
        <v>0</v>
      </c>
      <c r="JH37" s="419">
        <v>8</v>
      </c>
      <c r="JI37" s="586" t="s">
        <v>2780</v>
      </c>
    </row>
    <row r="38" spans="1:269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2642</v>
      </c>
      <c r="IW38" s="576">
        <v>51.81</v>
      </c>
      <c r="IZ38" s="350" t="s">
        <v>2173</v>
      </c>
      <c r="JA38" s="2">
        <f>SUM(JC11:JC13)</f>
        <v>762.4899999999999</v>
      </c>
      <c r="JB38" s="422">
        <v>23.85</v>
      </c>
      <c r="JC38" s="577"/>
      <c r="JH38" s="419">
        <v>40</v>
      </c>
      <c r="JI38" s="586" t="s">
        <v>1835</v>
      </c>
    </row>
    <row r="39" spans="1:269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546" t="s">
        <v>2642</v>
      </c>
      <c r="IW39" s="576">
        <v>28.77</v>
      </c>
      <c r="IZ39" s="352" t="s">
        <v>2174</v>
      </c>
      <c r="JA39" s="2">
        <f>SUM(JC17:JC26)</f>
        <v>1699.2033333333331</v>
      </c>
      <c r="JB39" s="396" t="s">
        <v>1418</v>
      </c>
      <c r="JC39" s="418">
        <f>IY18+JA42-JE19</f>
        <v>260</v>
      </c>
      <c r="JH39" s="419">
        <v>10</v>
      </c>
      <c r="JI39" s="586" t="s">
        <v>2805</v>
      </c>
    </row>
    <row r="40" spans="1:269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810" t="s">
        <v>1445</v>
      </c>
      <c r="DJ40" s="810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58" t="s">
        <v>2178</v>
      </c>
      <c r="II40" s="758"/>
      <c r="IJ40" s="419">
        <v>20</v>
      </c>
      <c r="IK40" s="344" t="s">
        <v>2433</v>
      </c>
      <c r="IN40" s="344" t="s">
        <v>2571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341" t="s">
        <v>2172</v>
      </c>
      <c r="JA40" s="2">
        <f>SUM(JC27:JC35)</f>
        <v>354.85099999999994</v>
      </c>
      <c r="JB40" s="419">
        <v>130</v>
      </c>
      <c r="JC40" s="586" t="s">
        <v>2671</v>
      </c>
      <c r="JH40" s="419"/>
      <c r="JI40" s="586"/>
    </row>
    <row r="41" spans="1:269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2706</v>
      </c>
      <c r="JG41" s="536"/>
      <c r="JH41" s="419"/>
      <c r="JI41" s="586"/>
    </row>
    <row r="42" spans="1:269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2566</v>
      </c>
      <c r="IV42" s="410"/>
      <c r="IW42" s="576"/>
      <c r="IZ42" s="700" t="s">
        <v>2703</v>
      </c>
      <c r="JA42" s="357">
        <v>200</v>
      </c>
      <c r="JB42" s="419">
        <v>30</v>
      </c>
      <c r="JC42" s="586" t="s">
        <v>2689</v>
      </c>
      <c r="JG42" s="536"/>
      <c r="JH42" s="546" t="s">
        <v>2778</v>
      </c>
      <c r="JI42" s="576">
        <v>751</v>
      </c>
    </row>
    <row r="43" spans="1:269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8" t="s">
        <v>2343</v>
      </c>
      <c r="HY43" s="658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630"/>
      <c r="IW43" s="632"/>
      <c r="JB43" s="419">
        <v>13</v>
      </c>
      <c r="JC43" s="586" t="s">
        <v>2726</v>
      </c>
      <c r="JG43" s="537"/>
      <c r="JH43" s="667" t="s">
        <v>2642</v>
      </c>
      <c r="JI43" s="575">
        <f>JG11</f>
        <v>233.62</v>
      </c>
    </row>
    <row r="44" spans="1:269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8"/>
      <c r="HY44" s="658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361"/>
      <c r="JB44" s="667" t="s">
        <v>2690</v>
      </c>
      <c r="JC44" s="575">
        <v>18</v>
      </c>
      <c r="JH44" s="546" t="s">
        <v>1625</v>
      </c>
      <c r="JI44" s="576">
        <v>12.34</v>
      </c>
    </row>
    <row r="45" spans="1:269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205"/>
      <c r="IW45" s="205"/>
      <c r="JA45" s="536"/>
      <c r="JB45" s="546" t="s">
        <v>2483</v>
      </c>
      <c r="JC45" s="676">
        <v>86.8</v>
      </c>
      <c r="JH45" s="410"/>
      <c r="JI45" s="576"/>
    </row>
    <row r="46" spans="1:269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0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2559</v>
      </c>
      <c r="IV46" s="408"/>
      <c r="IW46" s="205"/>
      <c r="JA46" s="536"/>
      <c r="JB46" s="546" t="s">
        <v>2730</v>
      </c>
      <c r="JC46" s="576">
        <v>36.9</v>
      </c>
      <c r="JH46" s="410"/>
      <c r="JI46" s="576"/>
    </row>
    <row r="47" spans="1:269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819" t="s">
        <v>2100</v>
      </c>
      <c r="GZ47" s="364" t="s">
        <v>2118</v>
      </c>
      <c r="HA47" s="6">
        <v>6</v>
      </c>
      <c r="HX47" s="661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2565</v>
      </c>
      <c r="IV47" s="205"/>
      <c r="IW47" s="346"/>
      <c r="JA47" s="537"/>
      <c r="JB47" s="546" t="s">
        <v>2764</v>
      </c>
      <c r="JC47" s="576">
        <v>13.3</v>
      </c>
      <c r="JH47" s="630"/>
      <c r="JI47" s="632"/>
    </row>
    <row r="48" spans="1:269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819"/>
      <c r="GZ48" t="s">
        <v>2094</v>
      </c>
      <c r="HA48" s="213">
        <v>670.00099999999998</v>
      </c>
      <c r="HX48" s="660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631"/>
      <c r="JB48" s="410"/>
      <c r="JC48" s="576"/>
      <c r="JH48" s="205"/>
      <c r="JI48" s="361"/>
    </row>
    <row r="49" spans="41:271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819"/>
      <c r="GZ49" s="213" t="s">
        <v>2125</v>
      </c>
      <c r="HX49" s="661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  <c r="JH49" s="205"/>
      <c r="JI49" s="205"/>
    </row>
    <row r="50" spans="41:271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819"/>
      <c r="GZ50" t="s">
        <v>2093</v>
      </c>
      <c r="HA50" s="6">
        <v>50.000999999999998</v>
      </c>
      <c r="HF50" s="1"/>
      <c r="HX50" s="661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IW50" s="205"/>
      <c r="JB50" s="410"/>
      <c r="JC50" s="576"/>
      <c r="JH50" s="408"/>
      <c r="JI50" s="205"/>
    </row>
    <row r="51" spans="41:271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1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30"/>
      <c r="JC51" s="632"/>
      <c r="JH51" s="205"/>
      <c r="JI51" s="346"/>
    </row>
    <row r="52" spans="41:271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1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  <c r="JH52" s="410"/>
      <c r="JI52" s="631"/>
    </row>
    <row r="53" spans="41:271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IV53" s="410"/>
      <c r="JB53" s="205"/>
      <c r="JC53" s="205"/>
      <c r="JH53" s="410"/>
      <c r="JI53" s="205"/>
    </row>
    <row r="54" spans="41:271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0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  <c r="JH54" s="410"/>
      <c r="JI54" s="205"/>
    </row>
    <row r="55" spans="41:271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2567</v>
      </c>
      <c r="IQ55" s="632">
        <v>22.2</v>
      </c>
      <c r="JB55" s="205"/>
      <c r="JC55" s="346"/>
      <c r="JH55" s="410"/>
    </row>
    <row r="56" spans="41:271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1" t="s">
        <v>2385</v>
      </c>
      <c r="IE56">
        <v>8.8000000000000007</v>
      </c>
      <c r="IJ56" s="410" t="s">
        <v>2403</v>
      </c>
      <c r="IK56">
        <v>150</v>
      </c>
      <c r="IP56" s="630" t="s">
        <v>2570</v>
      </c>
      <c r="IQ56" s="361">
        <v>22.6</v>
      </c>
      <c r="JB56" s="410"/>
      <c r="JC56" s="631"/>
      <c r="JH56" s="410"/>
    </row>
    <row r="57" spans="41:271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  <c r="JH57" s="410"/>
    </row>
    <row r="58" spans="41:271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</row>
    <row r="59" spans="41:271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  <c r="JK59" s="400"/>
    </row>
    <row r="60" spans="41:271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  <c r="JE60" s="400"/>
    </row>
    <row r="61" spans="41:271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71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71" x14ac:dyDescent="0.2">
      <c r="DG63" s="221" t="s">
        <v>1174</v>
      </c>
      <c r="DH63" s="306">
        <v>1500</v>
      </c>
      <c r="IP63" s="410"/>
    </row>
    <row r="64" spans="41:271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9"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L32" sqref="L32"/>
    </sheetView>
  </sheetViews>
  <sheetFormatPr defaultRowHeight="12.75" x14ac:dyDescent="0.2"/>
  <cols>
    <col min="1" max="1" width="0.85546875" style="747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747" bestFit="1" customWidth="1"/>
    <col min="6" max="7" width="9.7109375" bestFit="1" customWidth="1"/>
    <col min="8" max="8" width="21.140625" bestFit="1" customWidth="1"/>
  </cols>
  <sheetData>
    <row r="2" spans="2:8" s="747" customFormat="1" ht="25.5" x14ac:dyDescent="0.2">
      <c r="B2" s="749" t="s">
        <v>2782</v>
      </c>
      <c r="C2" s="749" t="s">
        <v>313</v>
      </c>
      <c r="D2" s="750" t="s">
        <v>2786</v>
      </c>
      <c r="E2" s="751" t="s">
        <v>2783</v>
      </c>
      <c r="F2" s="751" t="s">
        <v>2784</v>
      </c>
      <c r="G2" s="749" t="s">
        <v>466</v>
      </c>
      <c r="H2" s="748" t="s">
        <v>2781</v>
      </c>
    </row>
    <row r="3" spans="2:8" x14ac:dyDescent="0.2">
      <c r="B3" s="231"/>
      <c r="C3" s="231">
        <v>102000</v>
      </c>
      <c r="D3" s="231">
        <v>0</v>
      </c>
      <c r="E3" s="231">
        <v>0</v>
      </c>
      <c r="F3" s="231">
        <f>SUM(B3:E3)</f>
        <v>102000</v>
      </c>
      <c r="G3" s="81">
        <v>43739</v>
      </c>
      <c r="H3" s="63"/>
    </row>
    <row r="4" spans="2:8" x14ac:dyDescent="0.2">
      <c r="B4" s="231"/>
      <c r="C4" s="231"/>
      <c r="D4" s="231"/>
      <c r="E4" s="231"/>
      <c r="F4" s="231"/>
      <c r="G4" s="63"/>
      <c r="H4" s="63"/>
    </row>
    <row r="5" spans="2:8" x14ac:dyDescent="0.2">
      <c r="B5" s="231"/>
      <c r="C5" s="231">
        <v>92574</v>
      </c>
      <c r="D5" s="231">
        <v>0</v>
      </c>
      <c r="E5" s="231">
        <v>20000</v>
      </c>
      <c r="F5" s="231">
        <f>SUM(B5:E5)</f>
        <v>112574</v>
      </c>
      <c r="G5" s="81">
        <v>43891</v>
      </c>
      <c r="H5" s="63"/>
    </row>
    <row r="6" spans="2:8" s="747" customFormat="1" x14ac:dyDescent="0.2">
      <c r="B6" s="231"/>
      <c r="C6" s="231"/>
      <c r="D6" s="231"/>
      <c r="E6" s="231"/>
      <c r="F6" s="231"/>
      <c r="G6" s="81"/>
      <c r="H6" s="63"/>
    </row>
    <row r="7" spans="2:8" x14ac:dyDescent="0.2">
      <c r="B7" s="231">
        <f>4393.32+8715.16</f>
        <v>13108.48</v>
      </c>
      <c r="C7" s="231">
        <v>90000</v>
      </c>
      <c r="D7" s="231">
        <v>0</v>
      </c>
      <c r="E7" s="231">
        <v>9117</v>
      </c>
      <c r="F7" s="231">
        <f>SUM(B7:E7)</f>
        <v>112225.48</v>
      </c>
      <c r="G7" s="81">
        <v>44195</v>
      </c>
      <c r="H7" s="63" t="s">
        <v>2787</v>
      </c>
    </row>
    <row r="8" spans="2:8" x14ac:dyDescent="0.2">
      <c r="B8" s="231"/>
      <c r="C8" s="231"/>
      <c r="D8" s="231"/>
      <c r="E8" s="231"/>
      <c r="F8" s="231"/>
      <c r="G8" s="63"/>
      <c r="H8" s="63"/>
    </row>
    <row r="9" spans="2:8" x14ac:dyDescent="0.2">
      <c r="B9" s="231">
        <f>$B$7</f>
        <v>13108.48</v>
      </c>
      <c r="C9" s="752">
        <v>5000</v>
      </c>
      <c r="D9" s="231">
        <v>84000</v>
      </c>
      <c r="E9" s="231">
        <v>8848</v>
      </c>
      <c r="F9" s="752">
        <f>SUM(B9:E9)</f>
        <v>110956.48</v>
      </c>
      <c r="G9" s="81">
        <v>44548</v>
      </c>
      <c r="H9" s="63"/>
    </row>
    <row r="10" spans="2:8" s="747" customFormat="1" x14ac:dyDescent="0.2">
      <c r="B10" s="231"/>
      <c r="C10" s="231" t="s">
        <v>2788</v>
      </c>
      <c r="D10" s="231"/>
      <c r="E10" s="231"/>
      <c r="F10" s="231" t="s">
        <v>2789</v>
      </c>
      <c r="G10" s="81"/>
      <c r="H10" s="63"/>
    </row>
    <row r="11" spans="2:8" s="747" customFormat="1" x14ac:dyDescent="0.2">
      <c r="B11" s="231"/>
      <c r="C11" s="231"/>
      <c r="D11" s="231"/>
      <c r="E11" s="231"/>
      <c r="F11" s="231"/>
      <c r="G11" s="81"/>
      <c r="H11" s="63"/>
    </row>
    <row r="12" spans="2:8" x14ac:dyDescent="0.2">
      <c r="B12" s="231">
        <f t="shared" ref="B12:B21" si="0">$B$7</f>
        <v>13108.48</v>
      </c>
      <c r="C12" s="231">
        <v>1000</v>
      </c>
      <c r="D12" s="231">
        <v>89000</v>
      </c>
      <c r="E12" s="231">
        <v>8672</v>
      </c>
      <c r="F12" s="231">
        <f t="shared" ref="F12:F17" si="1">SUM(B12:E12)</f>
        <v>111780.48</v>
      </c>
      <c r="G12" s="81">
        <v>44576</v>
      </c>
      <c r="H12" s="63"/>
    </row>
    <row r="13" spans="2:8" x14ac:dyDescent="0.2">
      <c r="B13" s="231">
        <f t="shared" si="0"/>
        <v>13108.48</v>
      </c>
      <c r="C13" s="231">
        <v>1000</v>
      </c>
      <c r="D13" s="231">
        <v>89000</v>
      </c>
      <c r="E13" s="231">
        <v>7372</v>
      </c>
      <c r="F13" s="231">
        <f t="shared" si="1"/>
        <v>110480.48</v>
      </c>
      <c r="G13" s="81">
        <v>44608</v>
      </c>
      <c r="H13" s="63"/>
    </row>
    <row r="14" spans="2:8" x14ac:dyDescent="0.2">
      <c r="B14" s="231">
        <f t="shared" si="0"/>
        <v>13108.48</v>
      </c>
      <c r="C14" s="231">
        <v>1000</v>
      </c>
      <c r="D14" s="231">
        <v>90000</v>
      </c>
      <c r="E14" s="231">
        <v>8462</v>
      </c>
      <c r="F14" s="231">
        <f t="shared" si="1"/>
        <v>112570.48</v>
      </c>
      <c r="G14" s="81">
        <v>44638</v>
      </c>
      <c r="H14" s="63"/>
    </row>
    <row r="15" spans="2:8" x14ac:dyDescent="0.2">
      <c r="B15" s="231">
        <f t="shared" si="0"/>
        <v>13108.48</v>
      </c>
      <c r="C15" s="231">
        <v>1000</v>
      </c>
      <c r="D15" s="231">
        <v>91000</v>
      </c>
      <c r="E15" s="231">
        <v>3067</v>
      </c>
      <c r="F15" s="231">
        <f t="shared" si="1"/>
        <v>108175.48</v>
      </c>
      <c r="G15" s="81">
        <v>44701</v>
      </c>
      <c r="H15" s="63" t="s">
        <v>2792</v>
      </c>
    </row>
    <row r="16" spans="2:8" x14ac:dyDescent="0.2">
      <c r="B16" s="231">
        <f t="shared" si="0"/>
        <v>13108.48</v>
      </c>
      <c r="C16" s="231">
        <v>1000</v>
      </c>
      <c r="D16" s="231">
        <v>88000</v>
      </c>
      <c r="E16" s="231">
        <v>7877</v>
      </c>
      <c r="F16" s="231">
        <f t="shared" si="1"/>
        <v>109985.48</v>
      </c>
      <c r="G16" s="81">
        <v>44728</v>
      </c>
      <c r="H16" s="63" t="s">
        <v>2793</v>
      </c>
    </row>
    <row r="17" spans="2:8" x14ac:dyDescent="0.2">
      <c r="B17" s="231">
        <f t="shared" si="0"/>
        <v>13108.48</v>
      </c>
      <c r="C17" s="231">
        <v>1000</v>
      </c>
      <c r="D17" s="231">
        <v>83000</v>
      </c>
      <c r="E17" s="231">
        <v>8751</v>
      </c>
      <c r="F17" s="231">
        <f t="shared" si="1"/>
        <v>105859.48</v>
      </c>
      <c r="G17" s="81">
        <v>44788</v>
      </c>
      <c r="H17" s="63" t="s">
        <v>2785</v>
      </c>
    </row>
    <row r="18" spans="2:8" s="747" customFormat="1" x14ac:dyDescent="0.2">
      <c r="B18" s="231">
        <f t="shared" si="0"/>
        <v>13108.48</v>
      </c>
      <c r="C18" s="231">
        <v>1000</v>
      </c>
      <c r="D18" s="231">
        <v>83000</v>
      </c>
      <c r="E18" s="231">
        <v>5099</v>
      </c>
      <c r="F18" s="231">
        <f t="shared" ref="F18:F19" si="2">SUM(B18:E18)</f>
        <v>102207.48</v>
      </c>
      <c r="G18" s="81">
        <v>44851</v>
      </c>
      <c r="H18" s="63"/>
    </row>
    <row r="19" spans="2:8" s="747" customFormat="1" x14ac:dyDescent="0.2">
      <c r="B19" s="231">
        <f t="shared" si="0"/>
        <v>13108.48</v>
      </c>
      <c r="C19" s="231">
        <v>1000</v>
      </c>
      <c r="D19" s="231">
        <v>80000</v>
      </c>
      <c r="E19" s="231">
        <v>6195</v>
      </c>
      <c r="F19" s="231">
        <f t="shared" si="2"/>
        <v>100303.48</v>
      </c>
      <c r="G19" s="81">
        <v>44880</v>
      </c>
      <c r="H19" s="63"/>
    </row>
    <row r="20" spans="2:8" s="747" customFormat="1" x14ac:dyDescent="0.2">
      <c r="B20" s="231">
        <f t="shared" si="0"/>
        <v>13108.48</v>
      </c>
      <c r="C20" s="231">
        <v>1000</v>
      </c>
      <c r="D20" s="231">
        <v>75000</v>
      </c>
      <c r="E20" s="231">
        <v>9251</v>
      </c>
      <c r="F20" s="231">
        <f>SUM(B20:E20)</f>
        <v>98359.48</v>
      </c>
      <c r="G20" s="81">
        <v>44910</v>
      </c>
      <c r="H20" s="63" t="s">
        <v>2785</v>
      </c>
    </row>
    <row r="21" spans="2:8" x14ac:dyDescent="0.2">
      <c r="B21" s="231">
        <f t="shared" si="0"/>
        <v>13108.48</v>
      </c>
      <c r="C21" s="231">
        <v>1000</v>
      </c>
      <c r="D21" s="231">
        <v>75000</v>
      </c>
      <c r="E21" s="231">
        <v>10000</v>
      </c>
      <c r="F21" s="231">
        <f>SUM(B21:E21)</f>
        <v>99108.479999999996</v>
      </c>
      <c r="G21" s="81">
        <v>45000</v>
      </c>
      <c r="H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4"/>
  <sheetViews>
    <sheetView zoomScaleNormal="100" workbookViewId="0">
      <selection activeCell="L15" sqref="L15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10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9.42578125" style="591" bestFit="1" customWidth="1"/>
    <col min="15" max="15" width="45.28515625" style="59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3.75" customHeight="1" x14ac:dyDescent="0.2">
      <c r="I1" s="592"/>
    </row>
    <row r="2" spans="2:16" x14ac:dyDescent="0.2">
      <c r="B2" s="829" t="s">
        <v>1882</v>
      </c>
      <c r="C2" s="829"/>
      <c r="D2" s="829"/>
      <c r="E2" s="821" t="s">
        <v>2526</v>
      </c>
      <c r="F2" s="821" t="s">
        <v>2556</v>
      </c>
      <c r="G2" s="608"/>
      <c r="H2" s="823"/>
      <c r="I2" s="830" t="s">
        <v>2672</v>
      </c>
      <c r="J2" s="830"/>
      <c r="K2" s="825" t="s">
        <v>2669</v>
      </c>
      <c r="L2" s="825" t="s">
        <v>2582</v>
      </c>
      <c r="M2" s="821" t="s">
        <v>2531</v>
      </c>
      <c r="N2" s="820" t="s">
        <v>2540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822"/>
      <c r="F3" s="822"/>
      <c r="G3" s="609"/>
      <c r="H3" s="824"/>
      <c r="I3" s="596" t="s">
        <v>2628</v>
      </c>
      <c r="J3" s="597" t="s">
        <v>2219</v>
      </c>
      <c r="K3" s="826"/>
      <c r="L3" s="826"/>
      <c r="M3" s="822"/>
      <c r="N3" s="820"/>
    </row>
    <row r="4" spans="2:16" s="682" customFormat="1" ht="8.25" customHeight="1" x14ac:dyDescent="0.2">
      <c r="B4" s="682">
        <v>38</v>
      </c>
      <c r="C4" s="682">
        <v>29</v>
      </c>
      <c r="D4" s="682">
        <v>130</v>
      </c>
      <c r="G4" s="716">
        <v>44958</v>
      </c>
      <c r="I4" s="682">
        <f>360-J4</f>
        <v>285</v>
      </c>
      <c r="J4" s="682">
        <v>75</v>
      </c>
      <c r="K4" s="682">
        <v>65</v>
      </c>
      <c r="L4" s="682">
        <v>176</v>
      </c>
      <c r="M4" s="682">
        <v>485.00099999999998</v>
      </c>
      <c r="N4" s="682" t="s">
        <v>2543</v>
      </c>
      <c r="O4" s="682" t="s">
        <v>2588</v>
      </c>
    </row>
    <row r="5" spans="2:16" s="682" customFormat="1" ht="8.25" customHeight="1" x14ac:dyDescent="0.2">
      <c r="B5" s="682" t="s">
        <v>2527</v>
      </c>
      <c r="C5" s="682">
        <v>8</v>
      </c>
      <c r="D5" s="682">
        <f>D4</f>
        <v>130</v>
      </c>
      <c r="E5" s="682" t="s">
        <v>2558</v>
      </c>
      <c r="F5" s="682" t="s">
        <v>311</v>
      </c>
      <c r="G5" s="716">
        <v>44975</v>
      </c>
      <c r="H5" s="717"/>
      <c r="I5" s="682">
        <f>360-J5</f>
        <v>285</v>
      </c>
      <c r="J5" s="682">
        <v>75</v>
      </c>
      <c r="K5" s="682">
        <v>65</v>
      </c>
      <c r="L5" s="682">
        <v>176</v>
      </c>
      <c r="M5" s="682">
        <v>418.00099999999998</v>
      </c>
      <c r="N5" s="682" t="s">
        <v>2543</v>
      </c>
    </row>
    <row r="6" spans="2:16" s="712" customFormat="1" x14ac:dyDescent="0.2">
      <c r="B6" s="711"/>
      <c r="E6" s="723">
        <v>155</v>
      </c>
      <c r="G6" s="715">
        <v>44985</v>
      </c>
      <c r="H6" s="714" t="s">
        <v>2590</v>
      </c>
      <c r="P6" s="713"/>
    </row>
    <row r="7" spans="2:16" x14ac:dyDescent="0.2">
      <c r="B7" s="616"/>
      <c r="G7" s="610">
        <v>44987</v>
      </c>
      <c r="H7" s="718" t="s">
        <v>2751</v>
      </c>
      <c r="P7" s="603"/>
    </row>
    <row r="8" spans="2:16" x14ac:dyDescent="0.2">
      <c r="B8" s="616"/>
      <c r="G8" s="607">
        <v>45013</v>
      </c>
      <c r="H8" s="719"/>
      <c r="I8" s="603"/>
      <c r="J8" s="603"/>
      <c r="K8" s="603"/>
      <c r="L8" s="603"/>
      <c r="M8" s="603"/>
      <c r="O8" s="733" t="s">
        <v>2791</v>
      </c>
      <c r="P8" s="603"/>
    </row>
    <row r="9" spans="2:16" x14ac:dyDescent="0.2">
      <c r="B9" s="617"/>
      <c r="E9" s="605" t="s">
        <v>2555</v>
      </c>
      <c r="F9" s="599" t="s">
        <v>2632</v>
      </c>
      <c r="G9" s="607">
        <v>45016</v>
      </c>
      <c r="H9" s="603"/>
      <c r="I9" s="724">
        <v>220</v>
      </c>
      <c r="J9" s="591">
        <v>75</v>
      </c>
      <c r="K9" s="603">
        <v>0</v>
      </c>
      <c r="L9" s="603"/>
      <c r="M9" s="591">
        <v>258</v>
      </c>
      <c r="N9" s="603" t="s">
        <v>2736</v>
      </c>
    </row>
    <row r="10" spans="2:16" x14ac:dyDescent="0.2">
      <c r="B10" s="618"/>
      <c r="C10" s="831" t="s">
        <v>2529</v>
      </c>
      <c r="D10" s="831"/>
      <c r="E10" s="831"/>
      <c r="F10" s="831"/>
      <c r="G10" s="831"/>
      <c r="H10" s="831"/>
      <c r="I10" s="831"/>
      <c r="J10" s="831"/>
      <c r="K10" s="831"/>
      <c r="L10" s="831"/>
      <c r="M10" s="831"/>
      <c r="N10" s="831"/>
      <c r="O10" s="831"/>
      <c r="P10" s="831"/>
    </row>
    <row r="11" spans="2:16" ht="12.75" customHeight="1" x14ac:dyDescent="0.2">
      <c r="B11" s="617"/>
      <c r="C11" s="606" t="s">
        <v>2551</v>
      </c>
      <c r="D11" s="604"/>
      <c r="E11" s="821" t="s">
        <v>2526</v>
      </c>
      <c r="F11" s="821" t="s">
        <v>2556</v>
      </c>
      <c r="G11" s="609"/>
      <c r="H11" s="823" t="s">
        <v>2539</v>
      </c>
      <c r="I11" s="827" t="s">
        <v>2547</v>
      </c>
      <c r="J11" s="832" t="s">
        <v>2670</v>
      </c>
      <c r="K11" s="832"/>
      <c r="L11" s="825" t="s">
        <v>2650</v>
      </c>
      <c r="M11" s="821" t="s">
        <v>2531</v>
      </c>
      <c r="N11" s="820" t="s">
        <v>2540</v>
      </c>
    </row>
    <row r="12" spans="2:16" x14ac:dyDescent="0.2">
      <c r="B12" s="617"/>
      <c r="C12" s="594" t="s">
        <v>1880</v>
      </c>
      <c r="D12" s="595" t="s">
        <v>2441</v>
      </c>
      <c r="E12" s="822"/>
      <c r="F12" s="822"/>
      <c r="G12" s="611"/>
      <c r="H12" s="824"/>
      <c r="I12" s="828"/>
      <c r="J12" s="612" t="s">
        <v>2553</v>
      </c>
      <c r="K12" s="613" t="s">
        <v>1881</v>
      </c>
      <c r="L12" s="826"/>
      <c r="M12" s="822"/>
      <c r="N12" s="820"/>
    </row>
    <row r="13" spans="2:16" x14ac:dyDescent="0.2">
      <c r="B13" s="833">
        <v>8</v>
      </c>
      <c r="C13" s="833"/>
      <c r="G13" s="746">
        <v>45017</v>
      </c>
      <c r="H13" s="603">
        <v>0</v>
      </c>
      <c r="I13" s="591">
        <v>90</v>
      </c>
      <c r="J13" s="669">
        <f>I9-I13-L13</f>
        <v>130</v>
      </c>
      <c r="K13" s="591">
        <v>75</v>
      </c>
      <c r="L13" s="591">
        <v>0</v>
      </c>
      <c r="O13" s="591" t="s">
        <v>2552</v>
      </c>
    </row>
    <row r="14" spans="2:16" x14ac:dyDescent="0.2">
      <c r="B14" s="617"/>
      <c r="C14" s="591" t="s">
        <v>2527</v>
      </c>
      <c r="E14" s="718" t="s">
        <v>2673</v>
      </c>
      <c r="F14" s="718" t="s">
        <v>2661</v>
      </c>
      <c r="G14" s="607">
        <v>45020</v>
      </c>
      <c r="H14" s="617"/>
      <c r="M14" s="591">
        <f>M9-B13</f>
        <v>250</v>
      </c>
      <c r="N14" s="603" t="s">
        <v>2736</v>
      </c>
    </row>
    <row r="15" spans="2:16" x14ac:dyDescent="0.2">
      <c r="B15" s="617"/>
      <c r="E15" s="718"/>
      <c r="F15" s="718"/>
      <c r="H15" s="617"/>
      <c r="N15" s="603"/>
    </row>
    <row r="16" spans="2:16" x14ac:dyDescent="0.2">
      <c r="B16" s="617"/>
      <c r="E16" s="718"/>
      <c r="F16" s="718"/>
      <c r="H16" s="617"/>
      <c r="N16" s="603"/>
    </row>
    <row r="17" spans="2:18" x14ac:dyDescent="0.2">
      <c r="B17" s="617"/>
      <c r="E17" s="683"/>
      <c r="F17" s="683"/>
      <c r="G17" s="607">
        <v>45034</v>
      </c>
      <c r="H17" s="617" t="s">
        <v>2719</v>
      </c>
      <c r="N17" s="603"/>
    </row>
    <row r="18" spans="2:18" x14ac:dyDescent="0.2">
      <c r="B18" s="617"/>
      <c r="E18" s="655"/>
      <c r="F18" s="655"/>
      <c r="H18" s="617"/>
      <c r="N18" s="603"/>
      <c r="O18" s="600"/>
    </row>
    <row r="19" spans="2:18" x14ac:dyDescent="0.2">
      <c r="B19" s="617"/>
      <c r="E19" s="641"/>
      <c r="F19" s="641"/>
      <c r="G19" s="657" t="s">
        <v>2633</v>
      </c>
      <c r="H19" s="656" t="s">
        <v>2630</v>
      </c>
      <c r="N19" s="603"/>
      <c r="O19" s="602" t="s">
        <v>2790</v>
      </c>
    </row>
    <row r="20" spans="2:18" x14ac:dyDescent="0.2">
      <c r="B20" s="617"/>
      <c r="E20" s="600"/>
      <c r="F20" s="600"/>
      <c r="G20" s="610">
        <v>45045</v>
      </c>
      <c r="H20" s="617"/>
      <c r="K20" s="603"/>
      <c r="L20" s="603"/>
      <c r="O20" s="601" t="s">
        <v>2592</v>
      </c>
    </row>
    <row r="21" spans="2:18" x14ac:dyDescent="0.2">
      <c r="B21" s="618"/>
      <c r="C21" s="831" t="s">
        <v>2530</v>
      </c>
      <c r="D21" s="831"/>
      <c r="E21" s="831"/>
      <c r="F21" s="831"/>
      <c r="G21" s="831"/>
      <c r="H21" s="831"/>
      <c r="I21" s="831"/>
      <c r="J21" s="831"/>
      <c r="K21" s="831"/>
      <c r="L21" s="831"/>
      <c r="M21" s="831"/>
      <c r="N21" s="831"/>
      <c r="O21" s="831"/>
      <c r="P21" s="831"/>
    </row>
    <row r="22" spans="2:18" x14ac:dyDescent="0.2">
      <c r="B22" s="617"/>
      <c r="G22" s="610">
        <v>45048</v>
      </c>
      <c r="H22" s="617" t="s">
        <v>2720</v>
      </c>
    </row>
    <row r="23" spans="2:18" x14ac:dyDescent="0.2">
      <c r="B23" s="617"/>
      <c r="E23" s="733" t="s">
        <v>2725</v>
      </c>
      <c r="F23" s="733" t="s">
        <v>2632</v>
      </c>
      <c r="G23" s="610">
        <v>45048</v>
      </c>
      <c r="H23" s="617"/>
      <c r="I23" s="591">
        <v>0</v>
      </c>
      <c r="J23" s="591">
        <v>105</v>
      </c>
      <c r="K23" s="591">
        <f>J5</f>
        <v>75</v>
      </c>
      <c r="L23" s="591">
        <v>0</v>
      </c>
      <c r="M23" s="591">
        <f>M14-ABS(SUM(I13:L13)-SUM(I23:L23))</f>
        <v>135</v>
      </c>
      <c r="N23" s="591" t="s">
        <v>2541</v>
      </c>
      <c r="O23" s="591" t="s">
        <v>2591</v>
      </c>
    </row>
    <row r="24" spans="2:18" x14ac:dyDescent="0.2">
      <c r="B24" s="617"/>
      <c r="E24" s="673"/>
      <c r="F24" s="673"/>
      <c r="G24" s="610"/>
      <c r="H24" s="617"/>
      <c r="K24" s="603"/>
      <c r="L24" s="603"/>
      <c r="O24" s="591" t="s">
        <v>2544</v>
      </c>
    </row>
    <row r="25" spans="2:18" x14ac:dyDescent="0.2">
      <c r="B25" s="617"/>
      <c r="E25" s="605"/>
      <c r="F25" s="673"/>
      <c r="G25" s="610">
        <v>45062</v>
      </c>
      <c r="H25" s="617" t="s">
        <v>2721</v>
      </c>
      <c r="K25" s="603"/>
      <c r="L25" s="603"/>
    </row>
    <row r="26" spans="2:18" x14ac:dyDescent="0.2">
      <c r="B26" s="617"/>
      <c r="E26" s="600"/>
      <c r="F26" s="600"/>
      <c r="G26" s="610">
        <v>45076</v>
      </c>
      <c r="H26" s="617" t="s">
        <v>2722</v>
      </c>
      <c r="K26" s="603"/>
      <c r="L26" s="603"/>
      <c r="O26" s="601"/>
    </row>
    <row r="27" spans="2:18" x14ac:dyDescent="0.2">
      <c r="B27" s="617"/>
      <c r="E27" s="600"/>
      <c r="F27" s="600"/>
      <c r="G27" s="610"/>
      <c r="H27" s="617"/>
      <c r="K27" s="603"/>
      <c r="L27" s="603"/>
      <c r="O27" s="601"/>
    </row>
    <row r="28" spans="2:18" x14ac:dyDescent="0.2">
      <c r="B28" s="617"/>
      <c r="E28" s="600"/>
      <c r="F28" s="600"/>
      <c r="G28" s="639">
        <v>45076</v>
      </c>
      <c r="H28" s="617"/>
      <c r="K28" s="603"/>
      <c r="L28" s="603"/>
      <c r="O28" s="591" t="s">
        <v>2573</v>
      </c>
      <c r="R28" s="601"/>
    </row>
    <row r="29" spans="2:18" x14ac:dyDescent="0.2">
      <c r="B29" s="617"/>
      <c r="C29" s="591">
        <f>20+2</f>
        <v>22</v>
      </c>
      <c r="D29" s="591" t="s">
        <v>2528</v>
      </c>
      <c r="E29" s="600"/>
      <c r="F29" s="600"/>
      <c r="G29" s="639">
        <v>45077</v>
      </c>
      <c r="H29" s="617"/>
      <c r="K29" s="603"/>
      <c r="L29" s="603"/>
      <c r="O29" s="591" t="s">
        <v>2538</v>
      </c>
      <c r="R29" s="601"/>
    </row>
    <row r="30" spans="2:18" x14ac:dyDescent="0.2">
      <c r="B30" s="617"/>
      <c r="E30" s="600"/>
      <c r="F30" s="600"/>
      <c r="G30" s="610">
        <v>45077</v>
      </c>
      <c r="H30" s="603">
        <v>5</v>
      </c>
      <c r="I30" s="591" t="s">
        <v>2545</v>
      </c>
      <c r="K30" s="603"/>
      <c r="L30" s="603"/>
      <c r="R30" s="601"/>
    </row>
    <row r="31" spans="2:18" x14ac:dyDescent="0.2">
      <c r="B31" s="617"/>
      <c r="E31" s="600"/>
      <c r="F31" s="600"/>
      <c r="G31" s="610">
        <v>45077</v>
      </c>
      <c r="H31" s="603">
        <v>5.2</v>
      </c>
      <c r="I31" s="591" t="s">
        <v>2546</v>
      </c>
      <c r="K31" s="603"/>
      <c r="L31" s="603"/>
      <c r="O31" s="591" t="s">
        <v>2554</v>
      </c>
      <c r="R31" s="601"/>
    </row>
    <row r="32" spans="2:18" x14ac:dyDescent="0.2">
      <c r="B32" s="617"/>
      <c r="E32" s="600"/>
      <c r="F32" s="600"/>
      <c r="G32" s="610"/>
      <c r="H32" s="603"/>
      <c r="K32" s="603"/>
      <c r="L32" s="603"/>
      <c r="R32" s="601"/>
    </row>
    <row r="33" spans="2:15" x14ac:dyDescent="0.2">
      <c r="B33" s="617"/>
      <c r="G33" s="638">
        <v>45078</v>
      </c>
      <c r="H33" s="603"/>
      <c r="K33" s="603"/>
      <c r="L33" s="603"/>
      <c r="O33" s="591" t="s">
        <v>2752</v>
      </c>
    </row>
    <row r="34" spans="2:15" x14ac:dyDescent="0.2">
      <c r="B34" s="617"/>
      <c r="C34" s="591" t="s">
        <v>2527</v>
      </c>
      <c r="E34" s="605" t="s">
        <v>2557</v>
      </c>
      <c r="F34" s="602" t="s">
        <v>1873</v>
      </c>
      <c r="G34" s="638">
        <v>45079</v>
      </c>
      <c r="H34" s="603"/>
      <c r="K34" s="603"/>
      <c r="L34" s="603"/>
      <c r="M34" s="591">
        <f>M23-C29</f>
        <v>113</v>
      </c>
      <c r="N34" s="591" t="s">
        <v>2542</v>
      </c>
      <c r="O34" s="591" t="s">
        <v>2593</v>
      </c>
    </row>
    <row r="35" spans="2:15" x14ac:dyDescent="0.2">
      <c r="B35" s="617"/>
      <c r="E35" s="601"/>
      <c r="F35" s="601"/>
      <c r="H35" s="603"/>
      <c r="K35" s="603"/>
      <c r="L35" s="603"/>
    </row>
    <row r="36" spans="2:15" x14ac:dyDescent="0.2">
      <c r="B36" s="617"/>
      <c r="E36" s="602"/>
      <c r="H36" s="603"/>
      <c r="K36" s="603"/>
      <c r="L36" s="603"/>
    </row>
    <row r="37" spans="2:15" x14ac:dyDescent="0.2">
      <c r="B37" s="617"/>
      <c r="E37" s="602"/>
      <c r="G37" s="610">
        <v>45104</v>
      </c>
      <c r="H37" s="603"/>
      <c r="K37" s="603"/>
      <c r="L37" s="603"/>
      <c r="O37" s="591" t="s">
        <v>2777</v>
      </c>
    </row>
    <row r="38" spans="2:15" x14ac:dyDescent="0.2">
      <c r="B38" s="617"/>
      <c r="C38" s="591">
        <f>113+1</f>
        <v>114</v>
      </c>
      <c r="D38" s="591" t="s">
        <v>2528</v>
      </c>
      <c r="G38" s="610">
        <v>45105</v>
      </c>
      <c r="H38" s="603"/>
      <c r="K38" s="603"/>
      <c r="L38" s="603"/>
      <c r="O38" s="591" t="s">
        <v>2537</v>
      </c>
    </row>
    <row r="39" spans="2:15" x14ac:dyDescent="0.2">
      <c r="B39" s="617"/>
      <c r="G39" s="610">
        <v>45107</v>
      </c>
      <c r="H39" s="603"/>
      <c r="K39" s="603"/>
      <c r="L39" s="603"/>
      <c r="O39" s="591" t="s">
        <v>2550</v>
      </c>
    </row>
    <row r="40" spans="2:15" x14ac:dyDescent="0.2">
      <c r="B40" s="617"/>
      <c r="D40" s="591">
        <v>0</v>
      </c>
      <c r="E40" s="640" t="s">
        <v>2534</v>
      </c>
      <c r="F40" s="640" t="s">
        <v>2535</v>
      </c>
      <c r="G40" s="610">
        <v>45110</v>
      </c>
      <c r="H40" s="603"/>
      <c r="K40" s="603"/>
      <c r="L40" s="603"/>
    </row>
    <row r="41" spans="2:15" x14ac:dyDescent="0.2">
      <c r="H41" s="603"/>
      <c r="K41" s="603"/>
      <c r="L41" s="603"/>
    </row>
    <row r="42" spans="2:15" x14ac:dyDescent="0.2">
      <c r="H42" s="603"/>
      <c r="K42" s="603"/>
      <c r="L42" s="603"/>
      <c r="N42" s="620">
        <v>10000</v>
      </c>
      <c r="O42" s="619" t="s">
        <v>2536</v>
      </c>
    </row>
    <row r="43" spans="2:15" x14ac:dyDescent="0.2">
      <c r="N43" s="621">
        <f>3.78%-2.5%</f>
        <v>1.2799999999999999E-2</v>
      </c>
      <c r="O43" s="619" t="s">
        <v>2533</v>
      </c>
    </row>
    <row r="44" spans="2:15" x14ac:dyDescent="0.2">
      <c r="N44" s="622">
        <f>N42*N43/12</f>
        <v>10.666666666666666</v>
      </c>
      <c r="O44" s="619" t="s">
        <v>2532</v>
      </c>
    </row>
  </sheetData>
  <mergeCells count="20">
    <mergeCell ref="C21:P21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  <mergeCell ref="N2:N3"/>
    <mergeCell ref="E11:E12"/>
    <mergeCell ref="F11:F12"/>
    <mergeCell ref="M11:M12"/>
    <mergeCell ref="N11:N12"/>
    <mergeCell ref="H11:H12"/>
    <mergeCell ref="H2:H3"/>
    <mergeCell ref="L2:L3"/>
    <mergeCell ref="I11:I1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34" sqref="D34"/>
    </sheetView>
  </sheetViews>
  <sheetFormatPr defaultRowHeight="12.75" x14ac:dyDescent="0.2"/>
  <sheetData>
    <row r="1" spans="1:2" x14ac:dyDescent="0.2">
      <c r="A1" s="108">
        <v>44958</v>
      </c>
      <c r="B1" s="52">
        <v>4175.34</v>
      </c>
    </row>
    <row r="2" spans="1:2" x14ac:dyDescent="0.2">
      <c r="A2" s="108">
        <v>44959</v>
      </c>
      <c r="B2" s="52">
        <v>4175.34</v>
      </c>
    </row>
    <row r="3" spans="1:2" x14ac:dyDescent="0.2">
      <c r="A3" s="108">
        <v>44960</v>
      </c>
      <c r="B3" s="52">
        <v>4175.34</v>
      </c>
    </row>
    <row r="4" spans="1:2" x14ac:dyDescent="0.2">
      <c r="A4" s="108">
        <v>44961</v>
      </c>
      <c r="B4" s="52">
        <v>4175.34</v>
      </c>
    </row>
    <row r="5" spans="1:2" x14ac:dyDescent="0.2">
      <c r="A5" s="108">
        <v>44962</v>
      </c>
      <c r="B5" s="52">
        <v>4175.34</v>
      </c>
    </row>
    <row r="6" spans="1:2" x14ac:dyDescent="0.2">
      <c r="A6" s="108">
        <v>44963</v>
      </c>
      <c r="B6" s="52">
        <v>4175.34</v>
      </c>
    </row>
    <row r="7" spans="1:2" x14ac:dyDescent="0.2">
      <c r="A7" s="108">
        <v>44964</v>
      </c>
      <c r="B7" s="52">
        <v>4175.34</v>
      </c>
    </row>
    <row r="8" spans="1:2" x14ac:dyDescent="0.2">
      <c r="A8" s="108">
        <v>44965</v>
      </c>
      <c r="B8" s="52">
        <v>4175.34</v>
      </c>
    </row>
    <row r="9" spans="1:2" x14ac:dyDescent="0.2">
      <c r="A9" s="108">
        <v>44966</v>
      </c>
      <c r="B9" s="52">
        <v>4175.34</v>
      </c>
    </row>
    <row r="10" spans="1:2" x14ac:dyDescent="0.2">
      <c r="A10" s="108">
        <v>44967</v>
      </c>
      <c r="B10" s="52">
        <v>4175.34</v>
      </c>
    </row>
    <row r="11" spans="1:2" x14ac:dyDescent="0.2">
      <c r="A11" s="108">
        <v>44968</v>
      </c>
      <c r="B11" s="52">
        <v>4175.34</v>
      </c>
    </row>
    <row r="12" spans="1:2" x14ac:dyDescent="0.2">
      <c r="A12" s="108">
        <v>44969</v>
      </c>
      <c r="B12" s="52">
        <v>4175.34</v>
      </c>
    </row>
    <row r="13" spans="1:2" x14ac:dyDescent="0.2">
      <c r="A13" s="108">
        <v>44970</v>
      </c>
      <c r="B13" s="52">
        <v>4175.34</v>
      </c>
    </row>
    <row r="14" spans="1:2" x14ac:dyDescent="0.2">
      <c r="A14" s="108">
        <v>44971</v>
      </c>
      <c r="B14" s="52">
        <v>4175.34</v>
      </c>
    </row>
    <row r="15" spans="1:2" x14ac:dyDescent="0.2">
      <c r="A15" s="108">
        <v>44972</v>
      </c>
      <c r="B15" s="52">
        <v>4175.34</v>
      </c>
    </row>
    <row r="16" spans="1:2" x14ac:dyDescent="0.2">
      <c r="A16" s="108">
        <v>44973</v>
      </c>
      <c r="B16" s="52">
        <v>4175.34</v>
      </c>
    </row>
    <row r="17" spans="1:6" x14ac:dyDescent="0.2">
      <c r="A17" s="108">
        <v>44974</v>
      </c>
      <c r="B17">
        <v>275.33</v>
      </c>
    </row>
    <row r="18" spans="1:6" x14ac:dyDescent="0.2">
      <c r="A18" s="108">
        <v>44975</v>
      </c>
      <c r="B18" s="731">
        <v>275.33</v>
      </c>
    </row>
    <row r="19" spans="1:6" x14ac:dyDescent="0.2">
      <c r="A19" s="108">
        <v>44976</v>
      </c>
      <c r="B19" s="731">
        <v>275.33</v>
      </c>
    </row>
    <row r="20" spans="1:6" x14ac:dyDescent="0.2">
      <c r="A20" s="108">
        <v>44977</v>
      </c>
      <c r="B20" s="52">
        <v>1275.32</v>
      </c>
    </row>
    <row r="21" spans="1:6" x14ac:dyDescent="0.2">
      <c r="A21" s="108">
        <v>44978</v>
      </c>
      <c r="B21" s="52">
        <v>1275.32</v>
      </c>
    </row>
    <row r="22" spans="1:6" x14ac:dyDescent="0.2">
      <c r="A22" s="108">
        <v>44979</v>
      </c>
      <c r="B22" s="52">
        <v>1275.32</v>
      </c>
    </row>
    <row r="23" spans="1:6" x14ac:dyDescent="0.2">
      <c r="A23" s="108">
        <v>44980</v>
      </c>
      <c r="B23" s="52">
        <v>1305.33</v>
      </c>
    </row>
    <row r="24" spans="1:6" x14ac:dyDescent="0.2">
      <c r="A24" s="108">
        <v>44981</v>
      </c>
      <c r="B24" s="52">
        <v>1305.33</v>
      </c>
    </row>
    <row r="25" spans="1:6" x14ac:dyDescent="0.2">
      <c r="A25" s="108">
        <v>44982</v>
      </c>
      <c r="B25" s="52">
        <v>1305.33</v>
      </c>
      <c r="D25" t="s">
        <v>2742</v>
      </c>
      <c r="E25" t="s">
        <v>2743</v>
      </c>
      <c r="F25" t="s">
        <v>2744</v>
      </c>
    </row>
    <row r="26" spans="1:6" x14ac:dyDescent="0.2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">
      <c r="A27" s="108">
        <v>44984</v>
      </c>
      <c r="B27" s="52">
        <v>4226.62</v>
      </c>
      <c r="D27">
        <f>$B$29*D26</f>
        <v>76.903937500000012</v>
      </c>
      <c r="E27" s="731">
        <f>$B$29*E26</f>
        <v>27.6854175</v>
      </c>
      <c r="F27" s="731">
        <f>$B$29*F26</f>
        <v>4.6142362500000003</v>
      </c>
    </row>
    <row r="28" spans="1:6" x14ac:dyDescent="0.2">
      <c r="A28" s="108">
        <v>44985</v>
      </c>
      <c r="B28" s="52">
        <v>5227.08</v>
      </c>
      <c r="D28" t="s">
        <v>2745</v>
      </c>
      <c r="E28" s="731" t="s">
        <v>2745</v>
      </c>
      <c r="F28" s="731" t="s">
        <v>2745</v>
      </c>
    </row>
    <row r="29" spans="1:6" x14ac:dyDescent="0.2">
      <c r="A29" s="108"/>
      <c r="B29" s="52">
        <f>AVERAGE(B1:B28)</f>
        <v>3076.1575000000003</v>
      </c>
      <c r="D29">
        <f>D27/365*28</f>
        <v>5.8994801369863019</v>
      </c>
      <c r="E29" s="731">
        <f>E27/365*28</f>
        <v>2.1238128493150685</v>
      </c>
      <c r="F29" s="731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34" t="s">
        <v>1904</v>
      </c>
      <c r="D3" s="834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37" t="s">
        <v>2087</v>
      </c>
      <c r="C2" s="837"/>
      <c r="D2" s="838" t="s">
        <v>1882</v>
      </c>
      <c r="E2" s="838"/>
      <c r="F2" s="512"/>
      <c r="G2" s="512"/>
      <c r="H2" s="385"/>
      <c r="I2" s="841" t="s">
        <v>2278</v>
      </c>
      <c r="J2" s="842"/>
      <c r="K2" s="842"/>
      <c r="L2" s="842"/>
      <c r="M2" s="842"/>
      <c r="N2" s="842"/>
      <c r="O2" s="843"/>
      <c r="P2" s="466"/>
      <c r="Q2" s="844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49" t="s">
        <v>2309</v>
      </c>
      <c r="G3" s="850"/>
      <c r="H3" s="385"/>
      <c r="I3" s="449"/>
      <c r="J3" s="513"/>
      <c r="K3" s="846" t="s">
        <v>2451</v>
      </c>
      <c r="L3" s="847"/>
      <c r="M3" s="848"/>
      <c r="N3" s="518"/>
      <c r="O3" s="446"/>
      <c r="P3" s="510"/>
      <c r="Q3" s="845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39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39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40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40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35" t="s">
        <v>1549</v>
      </c>
      <c r="E27" s="836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69" t="s">
        <v>124</v>
      </c>
      <c r="C1" s="769"/>
      <c r="D1" s="773" t="s">
        <v>292</v>
      </c>
      <c r="E1" s="773"/>
      <c r="F1" s="773" t="s">
        <v>345</v>
      </c>
      <c r="G1" s="773"/>
      <c r="H1" s="770" t="s">
        <v>127</v>
      </c>
      <c r="I1" s="770"/>
      <c r="J1" s="771" t="s">
        <v>292</v>
      </c>
      <c r="K1" s="771"/>
      <c r="L1" s="772" t="s">
        <v>526</v>
      </c>
      <c r="M1" s="772"/>
      <c r="N1" s="770" t="s">
        <v>146</v>
      </c>
      <c r="O1" s="770"/>
      <c r="P1" s="771" t="s">
        <v>293</v>
      </c>
      <c r="Q1" s="771"/>
      <c r="R1" s="772" t="s">
        <v>528</v>
      </c>
      <c r="S1" s="772"/>
      <c r="T1" s="758" t="s">
        <v>193</v>
      </c>
      <c r="U1" s="758"/>
      <c r="V1" s="771" t="s">
        <v>292</v>
      </c>
      <c r="W1" s="771"/>
      <c r="X1" s="760" t="s">
        <v>530</v>
      </c>
      <c r="Y1" s="760"/>
      <c r="Z1" s="758" t="s">
        <v>241</v>
      </c>
      <c r="AA1" s="758"/>
      <c r="AB1" s="759" t="s">
        <v>292</v>
      </c>
      <c r="AC1" s="759"/>
      <c r="AD1" s="768" t="s">
        <v>530</v>
      </c>
      <c r="AE1" s="768"/>
      <c r="AF1" s="758" t="s">
        <v>373</v>
      </c>
      <c r="AG1" s="758"/>
      <c r="AH1" s="759" t="s">
        <v>292</v>
      </c>
      <c r="AI1" s="759"/>
      <c r="AJ1" s="760" t="s">
        <v>536</v>
      </c>
      <c r="AK1" s="760"/>
      <c r="AL1" s="758" t="s">
        <v>395</v>
      </c>
      <c r="AM1" s="758"/>
      <c r="AN1" s="766" t="s">
        <v>292</v>
      </c>
      <c r="AO1" s="766"/>
      <c r="AP1" s="764" t="s">
        <v>537</v>
      </c>
      <c r="AQ1" s="764"/>
      <c r="AR1" s="758" t="s">
        <v>422</v>
      </c>
      <c r="AS1" s="758"/>
      <c r="AV1" s="764" t="s">
        <v>285</v>
      </c>
      <c r="AW1" s="764"/>
      <c r="AX1" s="767" t="s">
        <v>1005</v>
      </c>
      <c r="AY1" s="767"/>
      <c r="AZ1" s="767"/>
      <c r="BA1" s="211"/>
      <c r="BB1" s="762">
        <v>42942</v>
      </c>
      <c r="BC1" s="763"/>
      <c r="BD1" s="763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61" t="s">
        <v>261</v>
      </c>
      <c r="U4" s="761"/>
      <c r="X4" s="122" t="s">
        <v>233</v>
      </c>
      <c r="Y4" s="126">
        <f>Y3-Y6</f>
        <v>4.9669099999591708</v>
      </c>
      <c r="Z4" s="761" t="s">
        <v>262</v>
      </c>
      <c r="AA4" s="761"/>
      <c r="AD4" s="157" t="s">
        <v>233</v>
      </c>
      <c r="AE4" s="157">
        <f>AE3-AE5</f>
        <v>-52.526899999851594</v>
      </c>
      <c r="AF4" s="761" t="s">
        <v>262</v>
      </c>
      <c r="AG4" s="761"/>
      <c r="AH4" s="146"/>
      <c r="AI4" s="146"/>
      <c r="AJ4" s="157" t="s">
        <v>233</v>
      </c>
      <c r="AK4" s="157">
        <f>AK3-AK5</f>
        <v>94.988909999992757</v>
      </c>
      <c r="AL4" s="761" t="s">
        <v>262</v>
      </c>
      <c r="AM4" s="761"/>
      <c r="AP4" s="173" t="s">
        <v>233</v>
      </c>
      <c r="AQ4" s="177">
        <f>AQ3-AQ5</f>
        <v>33.841989999942598</v>
      </c>
      <c r="AR4" s="761" t="s">
        <v>262</v>
      </c>
      <c r="AS4" s="761"/>
      <c r="AX4" s="761" t="s">
        <v>570</v>
      </c>
      <c r="AY4" s="761"/>
      <c r="BB4" s="761" t="s">
        <v>573</v>
      </c>
      <c r="BC4" s="761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61"/>
      <c r="U5" s="761"/>
      <c r="V5" s="3" t="s">
        <v>258</v>
      </c>
      <c r="W5">
        <v>2050</v>
      </c>
      <c r="X5" s="82"/>
      <c r="Z5" s="761"/>
      <c r="AA5" s="761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61"/>
      <c r="AG5" s="761"/>
      <c r="AH5" s="146"/>
      <c r="AI5" s="146"/>
      <c r="AJ5" s="157" t="s">
        <v>358</v>
      </c>
      <c r="AK5" s="165">
        <f>SUM(AK11:AK59)</f>
        <v>30858.011000000002</v>
      </c>
      <c r="AL5" s="761"/>
      <c r="AM5" s="761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61"/>
      <c r="AS5" s="761"/>
      <c r="AX5" s="761"/>
      <c r="AY5" s="761"/>
      <c r="BB5" s="761"/>
      <c r="BC5" s="761"/>
      <c r="BD5" s="765" t="s">
        <v>1006</v>
      </c>
      <c r="BE5" s="765"/>
      <c r="BF5" s="765"/>
      <c r="BG5" s="765"/>
      <c r="BH5" s="765"/>
      <c r="BI5" s="765"/>
      <c r="BJ5" s="765"/>
      <c r="BK5" s="765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74" t="s">
        <v>264</v>
      </c>
      <c r="W23" s="775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76"/>
      <c r="W24" s="777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H56" sqref="H56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2613</v>
      </c>
      <c r="E3" s="260"/>
      <c r="F3" s="260"/>
      <c r="G3" s="780" t="s">
        <v>2716</v>
      </c>
      <c r="H3" s="781"/>
      <c r="I3" s="645"/>
      <c r="J3" s="780" t="s">
        <v>2717</v>
      </c>
      <c r="K3" s="781"/>
      <c r="L3" s="303"/>
      <c r="M3" s="780">
        <v>43739</v>
      </c>
      <c r="N3" s="781"/>
    </row>
    <row r="4" spans="2:14" x14ac:dyDescent="0.2">
      <c r="B4" s="63" t="s">
        <v>324</v>
      </c>
      <c r="C4" s="71" t="s">
        <v>2619</v>
      </c>
      <c r="D4" s="63" t="s">
        <v>1044</v>
      </c>
      <c r="E4" s="63" t="s">
        <v>309</v>
      </c>
      <c r="F4" s="63" t="s">
        <v>1190</v>
      </c>
      <c r="G4" s="649"/>
      <c r="H4" s="709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2619</v>
      </c>
      <c r="D5" s="71" t="s">
        <v>1044</v>
      </c>
      <c r="E5" s="63" t="s">
        <v>2620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2619</v>
      </c>
      <c r="D6" s="71" t="s">
        <v>1051</v>
      </c>
      <c r="E6" s="63" t="s">
        <v>2623</v>
      </c>
      <c r="F6" s="63" t="s">
        <v>1190</v>
      </c>
      <c r="G6" s="649" t="s">
        <v>2755</v>
      </c>
      <c r="H6" s="231">
        <v>32000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2622</v>
      </c>
      <c r="F7" s="63" t="s">
        <v>1190</v>
      </c>
      <c r="G7" s="649"/>
      <c r="H7" s="231" t="s">
        <v>2754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2679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2624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2625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2604</v>
      </c>
      <c r="F11" s="63" t="s">
        <v>2608</v>
      </c>
      <c r="G11" s="649"/>
      <c r="H11" s="231" t="s">
        <v>2718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88" customFormat="1" x14ac:dyDescent="0.2">
      <c r="B13" s="63" t="s">
        <v>317</v>
      </c>
      <c r="C13" s="71" t="s">
        <v>317</v>
      </c>
      <c r="D13" s="71" t="s">
        <v>1051</v>
      </c>
      <c r="E13" s="63" t="s">
        <v>2678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2714</v>
      </c>
      <c r="E14" s="63" t="s">
        <v>849</v>
      </c>
      <c r="F14" s="63" t="s">
        <v>1190</v>
      </c>
      <c r="G14" s="649"/>
      <c r="H14" s="709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2714</v>
      </c>
      <c r="E15" s="63" t="s">
        <v>869</v>
      </c>
      <c r="F15" s="63" t="s">
        <v>1190</v>
      </c>
      <c r="G15" s="649"/>
      <c r="H15" s="709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2714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2714</v>
      </c>
      <c r="E17" s="63" t="s">
        <v>2594</v>
      </c>
      <c r="F17" s="71" t="s">
        <v>1190</v>
      </c>
      <c r="G17" s="649"/>
      <c r="H17" s="709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84" t="s">
        <v>2629</v>
      </c>
      <c r="D18" s="71" t="s">
        <v>2714</v>
      </c>
      <c r="E18" s="63" t="s">
        <v>2615</v>
      </c>
      <c r="F18" s="63" t="s">
        <v>1190</v>
      </c>
      <c r="G18" s="649"/>
      <c r="H18" s="709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85"/>
      <c r="D19" s="71" t="s">
        <v>2714</v>
      </c>
      <c r="E19" s="63" t="s">
        <v>2617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85"/>
      <c r="D20" s="71" t="s">
        <v>2714</v>
      </c>
      <c r="E20" s="63" t="s">
        <v>2616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85"/>
      <c r="D21" s="71" t="s">
        <v>2714</v>
      </c>
      <c r="E21" s="63" t="s">
        <v>2614</v>
      </c>
      <c r="F21" s="63" t="s">
        <v>1190</v>
      </c>
      <c r="G21" s="708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85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85"/>
      <c r="D23" s="71" t="s">
        <v>1051</v>
      </c>
      <c r="E23" s="63" t="s">
        <v>1043</v>
      </c>
      <c r="F23" s="63" t="s">
        <v>1190</v>
      </c>
      <c r="G23" s="707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85"/>
      <c r="D24" s="71" t="s">
        <v>1051</v>
      </c>
      <c r="E24" s="63" t="s">
        <v>2597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85"/>
      <c r="D25" s="63" t="s">
        <v>1189</v>
      </c>
      <c r="E25" s="63" t="s">
        <v>1188</v>
      </c>
      <c r="F25" s="63" t="s">
        <v>1191</v>
      </c>
      <c r="G25" s="708">
        <v>5000</v>
      </c>
      <c r="H25" s="231"/>
      <c r="I25" s="231"/>
      <c r="J25" s="710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2595</v>
      </c>
      <c r="C26" s="786"/>
      <c r="D26" s="71" t="s">
        <v>2714</v>
      </c>
      <c r="E26" s="63" t="s">
        <v>2627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2595</v>
      </c>
      <c r="C27" s="71" t="s">
        <v>316</v>
      </c>
      <c r="D27" s="71" t="s">
        <v>2714</v>
      </c>
      <c r="E27" s="63" t="s">
        <v>2618</v>
      </c>
      <c r="F27" s="63" t="s">
        <v>1190</v>
      </c>
      <c r="G27" s="650" t="s">
        <v>2596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2610</v>
      </c>
      <c r="F28" s="63" t="s">
        <v>1191</v>
      </c>
      <c r="G28" s="650">
        <v>1000</v>
      </c>
      <c r="H28" s="231" t="s">
        <v>2599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2714</v>
      </c>
      <c r="E29" s="63" t="s">
        <v>2606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2612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2611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2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87" t="s">
        <v>1189</v>
      </c>
      <c r="E33" s="672" t="s">
        <v>2680</v>
      </c>
      <c r="F33" s="186" t="s">
        <v>2652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88" customFormat="1" x14ac:dyDescent="0.2">
      <c r="B34" s="63"/>
      <c r="C34" s="71"/>
      <c r="D34" s="788"/>
      <c r="E34" s="672" t="s">
        <v>2681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2604</v>
      </c>
      <c r="F35" s="71" t="s">
        <v>2608</v>
      </c>
      <c r="G35" s="650" t="s">
        <v>2605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2682</v>
      </c>
    </row>
    <row r="36" spans="2:19" s="671" customFormat="1" x14ac:dyDescent="0.2">
      <c r="B36" s="63"/>
      <c r="C36" s="71"/>
      <c r="D36" s="71" t="s">
        <v>1044</v>
      </c>
      <c r="E36" s="672" t="s">
        <v>2655</v>
      </c>
      <c r="F36" s="186" t="s">
        <v>1190</v>
      </c>
      <c r="G36" s="652" t="s">
        <v>2711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5" customFormat="1" x14ac:dyDescent="0.2">
      <c r="B37" s="63" t="s">
        <v>317</v>
      </c>
      <c r="C37" s="71" t="s">
        <v>317</v>
      </c>
      <c r="D37" s="71" t="s">
        <v>1189</v>
      </c>
      <c r="E37" s="672" t="s">
        <v>2677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1" customFormat="1" x14ac:dyDescent="0.2">
      <c r="B38" s="63"/>
      <c r="C38" s="71"/>
      <c r="D38" s="71"/>
      <c r="E38" s="63" t="s">
        <v>2653</v>
      </c>
      <c r="F38" s="71" t="s">
        <v>2608</v>
      </c>
      <c r="G38" s="650" t="s">
        <v>2654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2607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2603</v>
      </c>
      <c r="G40" s="114">
        <f>SUM(G4:G39)</f>
        <v>1735000</v>
      </c>
      <c r="H40" s="646">
        <f>SUM(H4:H39)</f>
        <v>628000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2656</v>
      </c>
      <c r="G41" s="114">
        <v>1735000</v>
      </c>
      <c r="H41" s="646">
        <v>628000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2626</v>
      </c>
      <c r="F42" s="205">
        <v>1.33</v>
      </c>
      <c r="G42" s="114"/>
      <c r="H42" s="114" t="s">
        <v>2598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2712</v>
      </c>
      <c r="G43" s="783">
        <f>G40/F42+H40</f>
        <v>1932511.2781954887</v>
      </c>
      <c r="H43" s="783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2713</v>
      </c>
      <c r="G44" s="782">
        <f>H40*F42+G40</f>
        <v>2570240</v>
      </c>
      <c r="H44" s="782"/>
      <c r="I44" s="2"/>
      <c r="J44" s="782">
        <f>K40*1.37+J40</f>
        <v>1877697.6600000001</v>
      </c>
      <c r="K44" s="782"/>
      <c r="L44" s="2"/>
      <c r="M44" s="782">
        <f>N40*1.37+M40</f>
        <v>1789659</v>
      </c>
      <c r="N44" s="782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79" t="s">
        <v>1193</v>
      </c>
      <c r="C47" s="779"/>
      <c r="D47" s="779"/>
      <c r="E47" s="779"/>
      <c r="F47" s="779"/>
      <c r="G47" s="779"/>
      <c r="H47" s="779"/>
      <c r="I47" s="779"/>
      <c r="J47" s="779"/>
      <c r="K47" s="779"/>
      <c r="L47" s="779"/>
      <c r="M47" s="779"/>
      <c r="N47" s="779"/>
    </row>
    <row r="48" spans="2:19" x14ac:dyDescent="0.2">
      <c r="B48" s="779" t="s">
        <v>2602</v>
      </c>
      <c r="C48" s="779"/>
      <c r="D48" s="779"/>
      <c r="E48" s="779"/>
      <c r="F48" s="779"/>
      <c r="G48" s="779"/>
      <c r="H48" s="779"/>
      <c r="I48" s="779"/>
      <c r="J48" s="779"/>
      <c r="K48" s="779"/>
      <c r="L48" s="779"/>
      <c r="M48" s="779"/>
      <c r="N48" s="779"/>
    </row>
    <row r="49" spans="2:14" x14ac:dyDescent="0.2">
      <c r="B49" s="779" t="s">
        <v>2601</v>
      </c>
      <c r="C49" s="779"/>
      <c r="D49" s="779"/>
      <c r="E49" s="779"/>
      <c r="F49" s="779"/>
      <c r="G49" s="779"/>
      <c r="H49" s="779"/>
      <c r="I49" s="779"/>
      <c r="J49" s="779"/>
      <c r="K49" s="779"/>
      <c r="L49" s="779"/>
      <c r="M49" s="779"/>
      <c r="N49" s="779"/>
    </row>
    <row r="50" spans="2:14" x14ac:dyDescent="0.2">
      <c r="B50" s="778" t="s">
        <v>2600</v>
      </c>
      <c r="C50" s="778"/>
      <c r="D50" s="778"/>
      <c r="E50" s="778"/>
      <c r="F50" s="778"/>
      <c r="G50" s="778"/>
      <c r="H50" s="778"/>
      <c r="I50" s="778"/>
      <c r="J50" s="778"/>
      <c r="K50" s="778"/>
      <c r="L50" s="778"/>
      <c r="M50" s="778"/>
      <c r="N50" s="778"/>
    </row>
    <row r="51" spans="2:14" x14ac:dyDescent="0.2">
      <c r="B51" s="778"/>
      <c r="C51" s="778"/>
      <c r="D51" s="778"/>
      <c r="E51" s="778"/>
      <c r="F51" s="778"/>
      <c r="G51" s="778"/>
      <c r="H51" s="778"/>
      <c r="I51" s="778"/>
      <c r="J51" s="778"/>
      <c r="K51" s="778"/>
      <c r="L51" s="778"/>
      <c r="M51" s="778"/>
      <c r="N51" s="778"/>
    </row>
    <row r="52" spans="2:14" x14ac:dyDescent="0.2">
      <c r="B52" s="778"/>
      <c r="C52" s="778"/>
      <c r="D52" s="778"/>
      <c r="E52" s="778"/>
      <c r="F52" s="778"/>
      <c r="G52" s="778"/>
      <c r="H52" s="778"/>
      <c r="I52" s="778"/>
      <c r="J52" s="778"/>
      <c r="K52" s="778"/>
      <c r="L52" s="778"/>
      <c r="M52" s="778"/>
      <c r="N52" s="778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86" bestFit="1" customWidth="1"/>
    <col min="3" max="3" width="11.5703125" style="699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96"/>
    </row>
    <row r="2" spans="2:10" x14ac:dyDescent="0.2">
      <c r="B2" s="693" t="s">
        <v>467</v>
      </c>
      <c r="C2" s="697" t="s">
        <v>466</v>
      </c>
      <c r="D2" s="692" t="s">
        <v>462</v>
      </c>
      <c r="E2" s="693" t="s">
        <v>461</v>
      </c>
      <c r="F2" s="691" t="s">
        <v>463</v>
      </c>
      <c r="G2" s="694" t="s">
        <v>2684</v>
      </c>
      <c r="H2" s="694" t="s">
        <v>464</v>
      </c>
    </row>
    <row r="3" spans="2:10" x14ac:dyDescent="0.2">
      <c r="B3" s="63"/>
      <c r="C3" s="698"/>
      <c r="D3" s="63"/>
      <c r="E3" s="90"/>
      <c r="F3" s="90"/>
      <c r="G3" s="90"/>
      <c r="H3" s="90"/>
    </row>
    <row r="4" spans="2:10" x14ac:dyDescent="0.2">
      <c r="B4" s="63" t="s">
        <v>2693</v>
      </c>
      <c r="C4" s="698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2691</v>
      </c>
      <c r="C5" s="698">
        <v>44561</v>
      </c>
      <c r="D5" s="63" t="s">
        <v>2699</v>
      </c>
      <c r="E5" s="90">
        <v>505987.67999999993</v>
      </c>
      <c r="F5" s="63" t="s">
        <v>2699</v>
      </c>
      <c r="G5" s="90"/>
      <c r="H5" s="90"/>
      <c r="J5" s="52"/>
    </row>
    <row r="6" spans="2:10" s="690" customFormat="1" x14ac:dyDescent="0.2">
      <c r="B6" s="63" t="s">
        <v>922</v>
      </c>
      <c r="C6" s="698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0" customFormat="1" x14ac:dyDescent="0.2">
      <c r="B7" s="63" t="s">
        <v>922</v>
      </c>
      <c r="C7" s="698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0" customFormat="1" x14ac:dyDescent="0.2">
      <c r="B8" s="63" t="s">
        <v>2687</v>
      </c>
      <c r="C8" s="698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0" customFormat="1" x14ac:dyDescent="0.2">
      <c r="B9" s="63" t="s">
        <v>2687</v>
      </c>
      <c r="C9" s="698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0" customFormat="1" x14ac:dyDescent="0.2">
      <c r="B10" s="63" t="s">
        <v>2687</v>
      </c>
      <c r="C10" s="698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0" customFormat="1" x14ac:dyDescent="0.2">
      <c r="B11" s="63" t="s">
        <v>2687</v>
      </c>
      <c r="C11" s="698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0" customFormat="1" x14ac:dyDescent="0.2">
      <c r="B12" s="63" t="s">
        <v>2687</v>
      </c>
      <c r="C12" s="698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89" customFormat="1" x14ac:dyDescent="0.2">
      <c r="B13" s="63" t="s">
        <v>2687</v>
      </c>
      <c r="C13" s="698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89" customFormat="1" x14ac:dyDescent="0.2">
      <c r="B14" s="63" t="s">
        <v>2687</v>
      </c>
      <c r="C14" s="698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89" customFormat="1" x14ac:dyDescent="0.2">
      <c r="B15" s="63" t="s">
        <v>2687</v>
      </c>
      <c r="C15" s="698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89" customFormat="1" x14ac:dyDescent="0.2">
      <c r="B16" s="63" t="s">
        <v>2687</v>
      </c>
      <c r="C16" s="698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4" customFormat="1" x14ac:dyDescent="0.2">
      <c r="B17" s="63" t="s">
        <v>2687</v>
      </c>
      <c r="C17" s="698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4" customFormat="1" x14ac:dyDescent="0.2">
      <c r="B18" s="63" t="s">
        <v>2686</v>
      </c>
      <c r="C18" s="698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4" customFormat="1" x14ac:dyDescent="0.2">
      <c r="B19" s="63" t="s">
        <v>2683</v>
      </c>
      <c r="C19" s="698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4" customFormat="1" x14ac:dyDescent="0.2">
      <c r="B20" s="63" t="s">
        <v>2688</v>
      </c>
      <c r="C20" s="698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2685</v>
      </c>
      <c r="C21" s="698">
        <v>43710</v>
      </c>
      <c r="D21" s="701">
        <v>1740000</v>
      </c>
      <c r="E21" s="90">
        <f t="shared" si="0"/>
        <v>1090821.68</v>
      </c>
      <c r="F21" s="687">
        <v>1740000</v>
      </c>
      <c r="G21" s="90">
        <v>46524</v>
      </c>
      <c r="H21" s="90">
        <f>F21/G21</f>
        <v>37.400051586278053</v>
      </c>
    </row>
    <row r="22" spans="2:11" s="684" customFormat="1" x14ac:dyDescent="0.2">
      <c r="B22" s="186"/>
      <c r="C22" s="698">
        <v>43553</v>
      </c>
      <c r="D22" s="702"/>
      <c r="E22" s="90">
        <f t="shared" si="0"/>
        <v>1090821.68</v>
      </c>
      <c r="F22" s="687">
        <v>100</v>
      </c>
      <c r="G22" s="90"/>
      <c r="H22" s="90"/>
    </row>
    <row r="23" spans="2:11" x14ac:dyDescent="0.2">
      <c r="B23" s="63" t="s">
        <v>1038</v>
      </c>
      <c r="C23" s="698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4" customFormat="1" x14ac:dyDescent="0.2">
      <c r="B24" s="63" t="s">
        <v>2698</v>
      </c>
      <c r="C24" s="698">
        <v>43100</v>
      </c>
      <c r="D24" s="63" t="s">
        <v>2699</v>
      </c>
      <c r="E24" s="90">
        <v>705314.48</v>
      </c>
      <c r="F24" s="63" t="s">
        <v>2699</v>
      </c>
      <c r="G24" s="90"/>
      <c r="H24" s="90"/>
      <c r="K24" s="52"/>
    </row>
    <row r="25" spans="2:11" x14ac:dyDescent="0.2">
      <c r="B25" s="63" t="s">
        <v>2696</v>
      </c>
      <c r="C25" s="698" t="s">
        <v>2676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5" customFormat="1" x14ac:dyDescent="0.2">
      <c r="B26" s="63" t="s">
        <v>2692</v>
      </c>
      <c r="C26" s="698" t="s">
        <v>2697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698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698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698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698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698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698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698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698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2694</v>
      </c>
      <c r="C35" s="698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2695</v>
      </c>
      <c r="C36" s="698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698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5" customFormat="1" x14ac:dyDescent="0.2">
      <c r="B38" s="63"/>
      <c r="C38" s="698"/>
      <c r="D38" s="63"/>
      <c r="E38" s="790" t="s">
        <v>2702</v>
      </c>
      <c r="F38" s="791"/>
      <c r="G38" s="90"/>
      <c r="H38" s="90"/>
    </row>
    <row r="39" spans="2:8" x14ac:dyDescent="0.2">
      <c r="B39" s="63" t="s">
        <v>2700</v>
      </c>
      <c r="C39" s="698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2701</v>
      </c>
    </row>
    <row r="41" spans="2:8" ht="18" x14ac:dyDescent="0.25">
      <c r="B41" s="789" t="s">
        <v>996</v>
      </c>
      <c r="C41" s="789"/>
      <c r="D41" s="789"/>
      <c r="E41" s="789"/>
      <c r="F41" s="789"/>
      <c r="G41" s="789"/>
      <c r="H41" s="78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69" t="s">
        <v>915</v>
      </c>
      <c r="C1" s="769"/>
      <c r="D1" s="768" t="s">
        <v>521</v>
      </c>
      <c r="E1" s="768"/>
      <c r="F1" s="769" t="s">
        <v>519</v>
      </c>
      <c r="G1" s="769"/>
      <c r="H1" s="792" t="s">
        <v>555</v>
      </c>
      <c r="I1" s="792"/>
      <c r="J1" s="768" t="s">
        <v>521</v>
      </c>
      <c r="K1" s="768"/>
      <c r="L1" s="769" t="s">
        <v>914</v>
      </c>
      <c r="M1" s="769"/>
      <c r="N1" s="792" t="s">
        <v>555</v>
      </c>
      <c r="O1" s="792"/>
      <c r="P1" s="768" t="s">
        <v>521</v>
      </c>
      <c r="Q1" s="768"/>
      <c r="R1" s="769" t="s">
        <v>558</v>
      </c>
      <c r="S1" s="769"/>
      <c r="T1" s="792" t="s">
        <v>555</v>
      </c>
      <c r="U1" s="792"/>
      <c r="V1" s="768" t="s">
        <v>521</v>
      </c>
      <c r="W1" s="768"/>
      <c r="X1" s="769" t="s">
        <v>913</v>
      </c>
      <c r="Y1" s="769"/>
      <c r="Z1" s="792" t="s">
        <v>555</v>
      </c>
      <c r="AA1" s="792"/>
      <c r="AB1" s="768" t="s">
        <v>521</v>
      </c>
      <c r="AC1" s="768"/>
      <c r="AD1" s="769" t="s">
        <v>597</v>
      </c>
      <c r="AE1" s="769"/>
      <c r="AF1" s="792" t="s">
        <v>555</v>
      </c>
      <c r="AG1" s="792"/>
      <c r="AH1" s="768" t="s">
        <v>521</v>
      </c>
      <c r="AI1" s="768"/>
      <c r="AJ1" s="769" t="s">
        <v>912</v>
      </c>
      <c r="AK1" s="769"/>
      <c r="AL1" s="792" t="s">
        <v>632</v>
      </c>
      <c r="AM1" s="792"/>
      <c r="AN1" s="768" t="s">
        <v>633</v>
      </c>
      <c r="AO1" s="768"/>
      <c r="AP1" s="769" t="s">
        <v>627</v>
      </c>
      <c r="AQ1" s="769"/>
      <c r="AR1" s="792" t="s">
        <v>555</v>
      </c>
      <c r="AS1" s="792"/>
      <c r="AT1" s="768" t="s">
        <v>521</v>
      </c>
      <c r="AU1" s="768"/>
      <c r="AV1" s="769" t="s">
        <v>911</v>
      </c>
      <c r="AW1" s="769"/>
      <c r="AX1" s="792" t="s">
        <v>555</v>
      </c>
      <c r="AY1" s="792"/>
      <c r="AZ1" s="768" t="s">
        <v>521</v>
      </c>
      <c r="BA1" s="768"/>
      <c r="BB1" s="769" t="s">
        <v>659</v>
      </c>
      <c r="BC1" s="769"/>
      <c r="BD1" s="792" t="s">
        <v>555</v>
      </c>
      <c r="BE1" s="792"/>
      <c r="BF1" s="768" t="s">
        <v>521</v>
      </c>
      <c r="BG1" s="768"/>
      <c r="BH1" s="769" t="s">
        <v>910</v>
      </c>
      <c r="BI1" s="769"/>
      <c r="BJ1" s="792" t="s">
        <v>555</v>
      </c>
      <c r="BK1" s="792"/>
      <c r="BL1" s="768" t="s">
        <v>521</v>
      </c>
      <c r="BM1" s="768"/>
      <c r="BN1" s="769" t="s">
        <v>928</v>
      </c>
      <c r="BO1" s="769"/>
      <c r="BP1" s="792" t="s">
        <v>555</v>
      </c>
      <c r="BQ1" s="792"/>
      <c r="BR1" s="768" t="s">
        <v>521</v>
      </c>
      <c r="BS1" s="768"/>
      <c r="BT1" s="769" t="s">
        <v>909</v>
      </c>
      <c r="BU1" s="769"/>
      <c r="BV1" s="792" t="s">
        <v>710</v>
      </c>
      <c r="BW1" s="792"/>
      <c r="BX1" s="768" t="s">
        <v>711</v>
      </c>
      <c r="BY1" s="768"/>
      <c r="BZ1" s="769" t="s">
        <v>709</v>
      </c>
      <c r="CA1" s="769"/>
      <c r="CB1" s="792" t="s">
        <v>736</v>
      </c>
      <c r="CC1" s="792"/>
      <c r="CD1" s="768" t="s">
        <v>737</v>
      </c>
      <c r="CE1" s="768"/>
      <c r="CF1" s="769" t="s">
        <v>908</v>
      </c>
      <c r="CG1" s="769"/>
      <c r="CH1" s="792" t="s">
        <v>736</v>
      </c>
      <c r="CI1" s="792"/>
      <c r="CJ1" s="768" t="s">
        <v>737</v>
      </c>
      <c r="CK1" s="768"/>
      <c r="CL1" s="769" t="s">
        <v>754</v>
      </c>
      <c r="CM1" s="769"/>
      <c r="CN1" s="792" t="s">
        <v>736</v>
      </c>
      <c r="CO1" s="792"/>
      <c r="CP1" s="768" t="s">
        <v>737</v>
      </c>
      <c r="CQ1" s="768"/>
      <c r="CR1" s="769" t="s">
        <v>907</v>
      </c>
      <c r="CS1" s="769"/>
      <c r="CT1" s="792" t="s">
        <v>736</v>
      </c>
      <c r="CU1" s="792"/>
      <c r="CV1" s="796" t="s">
        <v>737</v>
      </c>
      <c r="CW1" s="796"/>
      <c r="CX1" s="769" t="s">
        <v>775</v>
      </c>
      <c r="CY1" s="769"/>
      <c r="CZ1" s="792" t="s">
        <v>736</v>
      </c>
      <c r="DA1" s="792"/>
      <c r="DB1" s="796" t="s">
        <v>737</v>
      </c>
      <c r="DC1" s="796"/>
      <c r="DD1" s="769" t="s">
        <v>906</v>
      </c>
      <c r="DE1" s="769"/>
      <c r="DF1" s="792" t="s">
        <v>822</v>
      </c>
      <c r="DG1" s="792"/>
      <c r="DH1" s="796" t="s">
        <v>823</v>
      </c>
      <c r="DI1" s="796"/>
      <c r="DJ1" s="769" t="s">
        <v>815</v>
      </c>
      <c r="DK1" s="769"/>
      <c r="DL1" s="792" t="s">
        <v>822</v>
      </c>
      <c r="DM1" s="792"/>
      <c r="DN1" s="796" t="s">
        <v>737</v>
      </c>
      <c r="DO1" s="796"/>
      <c r="DP1" s="769" t="s">
        <v>905</v>
      </c>
      <c r="DQ1" s="769"/>
      <c r="DR1" s="792" t="s">
        <v>822</v>
      </c>
      <c r="DS1" s="792"/>
      <c r="DT1" s="796" t="s">
        <v>737</v>
      </c>
      <c r="DU1" s="796"/>
      <c r="DV1" s="769" t="s">
        <v>904</v>
      </c>
      <c r="DW1" s="769"/>
      <c r="DX1" s="792" t="s">
        <v>822</v>
      </c>
      <c r="DY1" s="792"/>
      <c r="DZ1" s="796" t="s">
        <v>737</v>
      </c>
      <c r="EA1" s="796"/>
      <c r="EB1" s="769" t="s">
        <v>903</v>
      </c>
      <c r="EC1" s="769"/>
      <c r="ED1" s="792" t="s">
        <v>822</v>
      </c>
      <c r="EE1" s="792"/>
      <c r="EF1" s="796" t="s">
        <v>737</v>
      </c>
      <c r="EG1" s="796"/>
      <c r="EH1" s="769" t="s">
        <v>889</v>
      </c>
      <c r="EI1" s="769"/>
      <c r="EJ1" s="792" t="s">
        <v>822</v>
      </c>
      <c r="EK1" s="792"/>
      <c r="EL1" s="796" t="s">
        <v>943</v>
      </c>
      <c r="EM1" s="796"/>
      <c r="EN1" s="769" t="s">
        <v>929</v>
      </c>
      <c r="EO1" s="769"/>
      <c r="EP1" s="792" t="s">
        <v>822</v>
      </c>
      <c r="EQ1" s="792"/>
      <c r="ER1" s="796" t="s">
        <v>957</v>
      </c>
      <c r="ES1" s="796"/>
      <c r="ET1" s="769" t="s">
        <v>944</v>
      </c>
      <c r="EU1" s="769"/>
      <c r="EV1" s="792" t="s">
        <v>822</v>
      </c>
      <c r="EW1" s="792"/>
      <c r="EX1" s="796" t="s">
        <v>536</v>
      </c>
      <c r="EY1" s="796"/>
      <c r="EZ1" s="769" t="s">
        <v>959</v>
      </c>
      <c r="FA1" s="769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95" t="s">
        <v>785</v>
      </c>
      <c r="CU7" s="769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95" t="s">
        <v>784</v>
      </c>
      <c r="DA8" s="769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95" t="s">
        <v>784</v>
      </c>
      <c r="DG8" s="769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95" t="s">
        <v>784</v>
      </c>
      <c r="DM8" s="769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95" t="s">
        <v>784</v>
      </c>
      <c r="DS8" s="769"/>
      <c r="DT8" s="145" t="s">
        <v>789</v>
      </c>
      <c r="DU8" s="145">
        <f>SUM(DU13:DU17)</f>
        <v>32</v>
      </c>
      <c r="DV8" s="63"/>
      <c r="DW8" s="63"/>
      <c r="DX8" s="795" t="s">
        <v>784</v>
      </c>
      <c r="DY8" s="769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95" t="s">
        <v>935</v>
      </c>
      <c r="EK8" s="769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95" t="s">
        <v>935</v>
      </c>
      <c r="EQ9" s="769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95" t="s">
        <v>935</v>
      </c>
      <c r="EW9" s="769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95" t="s">
        <v>935</v>
      </c>
      <c r="EE11" s="769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95" t="s">
        <v>784</v>
      </c>
      <c r="CU12" s="769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58" t="s">
        <v>788</v>
      </c>
      <c r="CU19" s="758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79" t="s">
        <v>864</v>
      </c>
      <c r="FA21" s="779"/>
      <c r="FC21" s="242">
        <f>FC20-FC22</f>
        <v>113457.16899999997</v>
      </c>
      <c r="FD21" s="234"/>
      <c r="FE21" s="797" t="s">
        <v>1553</v>
      </c>
      <c r="FF21" s="797"/>
      <c r="FG21" s="797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79" t="s">
        <v>877</v>
      </c>
      <c r="FA22" s="779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79" t="s">
        <v>1007</v>
      </c>
      <c r="FA23" s="779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79" t="s">
        <v>1083</v>
      </c>
      <c r="FA24" s="779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93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94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93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94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wife100k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2023-02-28T12:24:28Z</cp:lastPrinted>
  <dcterms:created xsi:type="dcterms:W3CDTF">1998-07-18T13:03:51Z</dcterms:created>
  <dcterms:modified xsi:type="dcterms:W3CDTF">2023-04-03T07:38:24Z</dcterms:modified>
</cp:coreProperties>
</file>