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969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HY44" i="32" l="1"/>
  <c r="I4" i="41" l="1"/>
  <c r="IW30" i="32" l="1"/>
  <c r="IW22" i="32" l="1"/>
  <c r="IW20" i="32"/>
  <c r="IW31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W13" i="35"/>
  <c r="T13" i="35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5" i="41"/>
  <c r="P46" i="41" s="1"/>
  <c r="C40" i="41"/>
  <c r="C31" i="41"/>
  <c r="K27" i="41"/>
  <c r="M7" i="41"/>
  <c r="D7" i="41"/>
  <c r="D5" i="41"/>
  <c r="I5" i="41"/>
  <c r="I11" i="41" s="1"/>
  <c r="DH58" i="32"/>
  <c r="DH54" i="32"/>
  <c r="IK52" i="32"/>
  <c r="IE57" i="32"/>
  <c r="IE52" i="32"/>
  <c r="IC32" i="32" s="1"/>
  <c r="HY51" i="32"/>
  <c r="IQ50" i="32"/>
  <c r="IK50" i="32"/>
  <c r="AP50" i="32"/>
  <c r="GO49" i="32"/>
  <c r="IQ48" i="32"/>
  <c r="AP48" i="32"/>
  <c r="IP46" i="32"/>
  <c r="IJ46" i="32"/>
  <c r="HY46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BF11" i="32" s="1"/>
  <c r="IQ34" i="32"/>
  <c r="HY34" i="32"/>
  <c r="HS34" i="32"/>
  <c r="HQ34" i="32"/>
  <c r="GC34" i="32"/>
  <c r="DZ34" i="32"/>
  <c r="DH34" i="32"/>
  <c r="DF34" i="32"/>
  <c r="AP34" i="32"/>
  <c r="IW33" i="32"/>
  <c r="IW5" i="32" s="1"/>
  <c r="IU33" i="32"/>
  <c r="IO33" i="32"/>
  <c r="HA33" i="32"/>
  <c r="GI33" i="32"/>
  <c r="FQ33" i="32"/>
  <c r="FQ10" i="32" s="1"/>
  <c r="DH33" i="32"/>
  <c r="IU32" i="32"/>
  <c r="IK32" i="32"/>
  <c r="IE32" i="32"/>
  <c r="IC31" i="32" s="1"/>
  <c r="HG32" i="32"/>
  <c r="GU32" i="32"/>
  <c r="FW32" i="32"/>
  <c r="FU32" i="32"/>
  <c r="FA32" i="32"/>
  <c r="DT32" i="32"/>
  <c r="IU31" i="32"/>
  <c r="IK31" i="32"/>
  <c r="HQ31" i="32"/>
  <c r="FU31" i="32"/>
  <c r="FK31" i="32"/>
  <c r="DN31" i="32"/>
  <c r="DH31" i="32"/>
  <c r="CJ31" i="32"/>
  <c r="CJ6" i="32" s="1"/>
  <c r="IU30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4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U9" i="32" s="1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IQ19" i="32"/>
  <c r="IM19" i="32"/>
  <c r="HY19" i="32"/>
  <c r="HS19" i="32"/>
  <c r="HA19" i="32"/>
  <c r="FW19" i="32"/>
  <c r="FK19" i="32"/>
  <c r="FK8" i="32" s="1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P3" i="32" s="1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DB16" i="32"/>
  <c r="DB7" i="32" s="1"/>
  <c r="BB16" i="32"/>
  <c r="IS15" i="32"/>
  <c r="IG15" i="32"/>
  <c r="HY15" i="32"/>
  <c r="HY14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4" i="32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J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S3" i="32" s="1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M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G3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R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8" i="28" s="1"/>
  <c r="BY35" i="28"/>
  <c r="FD30" i="28"/>
  <c r="FD29" i="28"/>
  <c r="CQ29" i="28"/>
  <c r="AO25" i="28"/>
  <c r="DI23" i="28"/>
  <c r="DI7" i="28" s="1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O2" i="28" s="1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Q2" i="28"/>
  <c r="EI2" i="28"/>
  <c r="EC2" i="28"/>
  <c r="DY2" i="28"/>
  <c r="DW2" i="28"/>
  <c r="DS2" i="28"/>
  <c r="DM2" i="28"/>
  <c r="DG2" i="28"/>
  <c r="DA2" i="28"/>
  <c r="CY2" i="28"/>
  <c r="CU2" i="28"/>
  <c r="CS2" i="28"/>
  <c r="CO2" i="28"/>
  <c r="CM2" i="28"/>
  <c r="CI2" i="28"/>
  <c r="CK2" i="28" s="1"/>
  <c r="CK3" i="28" s="1"/>
  <c r="CK4" i="28" s="1"/>
  <c r="CG2" i="28"/>
  <c r="CC2" i="28"/>
  <c r="CA2" i="28"/>
  <c r="BW2" i="28"/>
  <c r="BU2" i="28"/>
  <c r="BQ2" i="28"/>
  <c r="BO2" i="28"/>
  <c r="BK2" i="28"/>
  <c r="BM2" i="28" s="1"/>
  <c r="BM3" i="28" s="1"/>
  <c r="BM4" i="28" s="1"/>
  <c r="BM5" i="28" s="1"/>
  <c r="BI2" i="28"/>
  <c r="BE2" i="28"/>
  <c r="BC2" i="28"/>
  <c r="AY2" i="28"/>
  <c r="AW2" i="28"/>
  <c r="AQ2" i="28"/>
  <c r="AM2" i="28"/>
  <c r="AK2" i="28"/>
  <c r="AG2" i="28"/>
  <c r="AE2" i="28"/>
  <c r="AI2" i="28" s="1"/>
  <c r="AI3" i="28" s="1"/>
  <c r="AI4" i="28" s="1"/>
  <c r="AA2" i="28"/>
  <c r="Y2" i="28"/>
  <c r="U2" i="28"/>
  <c r="S2" i="28"/>
  <c r="W2" i="28" s="1"/>
  <c r="W3" i="28" s="1"/>
  <c r="O2" i="28"/>
  <c r="M2" i="28"/>
  <c r="I2" i="28"/>
  <c r="G2" i="28"/>
  <c r="K2" i="28" s="1"/>
  <c r="K3" i="28" s="1"/>
  <c r="K4" i="28" s="1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S5" i="21" s="1"/>
  <c r="S7" i="21" s="1"/>
  <c r="Y14" i="21"/>
  <c r="M14" i="21"/>
  <c r="M13" i="21"/>
  <c r="Y12" i="21"/>
  <c r="AE11" i="21"/>
  <c r="K11" i="21"/>
  <c r="AQ10" i="21"/>
  <c r="AM10" i="21"/>
  <c r="Y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AG3" i="21" s="1"/>
  <c r="S8" i="21"/>
  <c r="G8" i="21"/>
  <c r="AS7" i="21"/>
  <c r="AS3" i="21" s="1"/>
  <c r="AO6" i="21"/>
  <c r="S6" i="21"/>
  <c r="O6" i="21"/>
  <c r="K6" i="21"/>
  <c r="I6" i="21"/>
  <c r="AK5" i="21"/>
  <c r="O5" i="21"/>
  <c r="O3" i="21" s="1"/>
  <c r="I5" i="21"/>
  <c r="I3" i="21" s="1"/>
  <c r="BC3" i="21"/>
  <c r="AO3" i="21"/>
  <c r="AI3" i="21"/>
  <c r="Q3" i="21"/>
  <c r="K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IE6" i="32" l="1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4" i="28" s="1"/>
  <c r="EY8" i="28"/>
  <c r="R6" i="32"/>
  <c r="BF6" i="32"/>
  <c r="EY6" i="32"/>
  <c r="EO3" i="32"/>
  <c r="EM3" i="32" s="1"/>
  <c r="EM4" i="32" s="1"/>
  <c r="HE3" i="32"/>
  <c r="HG2" i="32" s="1"/>
  <c r="IC2" i="32"/>
  <c r="IE2" i="32" s="1"/>
  <c r="EM10" i="32"/>
  <c r="AQ3" i="21"/>
  <c r="EM2" i="28"/>
  <c r="EM3" i="28" s="1"/>
  <c r="EM4" i="28" s="1"/>
  <c r="FD31" i="28"/>
  <c r="DO3" i="28"/>
  <c r="DO4" i="28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S3" i="21"/>
  <c r="S4" i="21" s="1"/>
  <c r="Y6" i="21"/>
  <c r="AQ5" i="21"/>
  <c r="AQ7" i="21" s="1"/>
  <c r="AC2" i="28"/>
  <c r="AC3" i="28" s="1"/>
  <c r="AC4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DU2" i="28"/>
  <c r="DU3" i="28" s="1"/>
  <c r="DU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FW3" i="32" s="1"/>
  <c r="CV11" i="32"/>
  <c r="AD6" i="32"/>
  <c r="M12" i="41"/>
  <c r="M27" i="41" s="1"/>
  <c r="M28" i="41" s="1"/>
  <c r="M36" i="41" s="1"/>
  <c r="AE3" i="21"/>
  <c r="AE4" i="21" s="1"/>
  <c r="AK3" i="21"/>
  <c r="AK4" i="21" s="1"/>
  <c r="AK7" i="21"/>
  <c r="Y3" i="21"/>
  <c r="AE10" i="21"/>
  <c r="AE7" i="21" s="1"/>
  <c r="W4" i="28"/>
  <c r="DI2" i="28"/>
  <c r="DI3" i="28" s="1"/>
  <c r="DI4" i="28" s="1"/>
  <c r="EF3" i="32"/>
  <c r="EF4" i="32" s="1"/>
  <c r="II2" i="32"/>
  <c r="DZ6" i="32"/>
  <c r="GI6" i="32"/>
  <c r="HK25" i="32"/>
  <c r="HM6" i="32"/>
  <c r="DT3" i="32"/>
  <c r="DT4" i="32" s="1"/>
  <c r="DT5" i="32" s="1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DN3" i="32"/>
  <c r="IM3" i="32"/>
  <c r="IY3" i="32" s="1"/>
  <c r="IY2" i="32" s="1"/>
  <c r="BB3" i="32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M3" i="21"/>
  <c r="G3" i="21"/>
  <c r="FD2" i="28"/>
  <c r="FF2" i="28" s="1"/>
  <c r="E2" i="28"/>
  <c r="HW25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5" i="34"/>
  <c r="M35" i="34"/>
  <c r="Q22" i="35"/>
  <c r="B23" i="35"/>
  <c r="G35" i="34"/>
  <c r="K35" i="34"/>
  <c r="H4" i="34"/>
  <c r="H35" i="34" s="1"/>
  <c r="L4" i="32" l="1"/>
  <c r="GC5" i="32"/>
  <c r="DB5" i="32"/>
  <c r="CJ5" i="32"/>
  <c r="HY2" i="32"/>
  <c r="HY4" i="32" s="1"/>
  <c r="HM3" i="32"/>
  <c r="HM4" i="32" s="1"/>
  <c r="X5" i="32"/>
  <c r="BR4" i="32"/>
  <c r="EY3" i="32"/>
  <c r="ES3" i="32"/>
  <c r="ES4" i="32" s="1"/>
  <c r="BL5" i="32"/>
  <c r="IE5" i="32"/>
  <c r="IE3" i="32"/>
  <c r="IE4" i="32" s="1"/>
  <c r="FW5" i="32"/>
  <c r="FW4" i="32"/>
  <c r="EF5" i="32"/>
  <c r="AJ4" i="32"/>
  <c r="FE3" i="32"/>
  <c r="FE4" i="32" s="1"/>
  <c r="IQ5" i="32"/>
  <c r="GC4" i="32"/>
  <c r="GO5" i="32"/>
  <c r="CV5" i="32"/>
  <c r="J39" i="34"/>
  <c r="J27" i="35"/>
  <c r="AQ4" i="21"/>
  <c r="GI5" i="32"/>
  <c r="HS3" i="32"/>
  <c r="HS4" i="32" s="1"/>
  <c r="BX3" i="32"/>
  <c r="BX5" i="32" s="1"/>
  <c r="AD5" i="32"/>
  <c r="DT6" i="32"/>
  <c r="GU4" i="32"/>
  <c r="Y4" i="21"/>
  <c r="AV5" i="32"/>
  <c r="AV4" i="32"/>
  <c r="DH4" i="32"/>
  <c r="HM5" i="32"/>
  <c r="GU5" i="32"/>
  <c r="IS3" i="32"/>
  <c r="IS2" i="32" s="1"/>
  <c r="IW2" i="32" s="1"/>
  <c r="IW3" i="32" s="1"/>
  <c r="AZ3" i="32"/>
  <c r="FK3" i="32"/>
  <c r="FK5" i="32" s="1"/>
  <c r="FQ5" i="32"/>
  <c r="G39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39" i="34"/>
  <c r="HA6" i="32"/>
  <c r="HA5" i="32" s="1"/>
  <c r="HA8" i="32"/>
  <c r="HA4" i="32" s="1"/>
  <c r="HY6" i="32"/>
  <c r="HY5" i="32"/>
  <c r="EY5" i="32"/>
  <c r="EY4" i="32"/>
  <c r="CP4" i="32"/>
  <c r="CP5" i="32"/>
  <c r="AP5" i="32"/>
  <c r="AP4" i="32"/>
  <c r="FC22" i="28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38" i="34"/>
  <c r="ES5" i="32" l="1"/>
  <c r="HS5" i="32"/>
  <c r="FK4" i="32"/>
  <c r="FE5" i="32"/>
  <c r="BX4" i="32"/>
  <c r="IQ2" i="32"/>
  <c r="IQ3" i="32" s="1"/>
  <c r="IW4" i="32"/>
  <c r="BF4" i="32"/>
  <c r="FC21" i="28"/>
  <c r="FC18" i="28"/>
  <c r="FC28" i="28"/>
  <c r="FC5" i="28" s="1"/>
  <c r="FC6" i="28" s="1"/>
  <c r="FD32" i="28"/>
  <c r="FC7" i="28" s="1"/>
  <c r="FC8" i="28" s="1"/>
  <c r="IK3" i="32"/>
  <c r="IK4" i="32" s="1"/>
  <c r="IK5" i="32"/>
  <c r="IQ4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<sst xmlns="http://schemas.openxmlformats.org/spreadsheetml/2006/main" count="6765" uniqueCount="2693">
  <si>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</si>
  <si>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</si>
  <si>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</si>
  <si>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</si>
  <si>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</si>
  <si>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</si>
  <si>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</si>
  <si>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</si>
  <si>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</si>
  <si>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</si>
  <si>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</si>
  <si>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</si>
  <si>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</si>
  <si>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</si>
  <si>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</si>
  <si>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</si>
  <si>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</si>
  <si>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</si>
  <si>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</si>
  <si>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</si>
  <si>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</si>
  <si>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</si>
  <si>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</si>
  <si>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</si>
  <si>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</si>
  <si>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</si>
  <si>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</si>
  <si>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</si>
  <si>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</si>
  <si>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</si>
  <si>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</si>
  <si>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</si>
  <si>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</si>
  <si>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</si>
  <si>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</si>
  <si>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</si>
  <si>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</si>
  <si>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</si>
  <si>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</si>
  <si>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</si>
  <si>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</si>
  <si>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</si>
  <si>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</si>
  <si>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</si>
  <si>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</si>
  <si>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</si>
  <si>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</si>
  <si>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</si>
  <si>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</si>
  <si>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</si>
  <si>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</si>
  <si>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</si>
  <si>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</si>
  <si>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</si>
  <si>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</si>
  <si>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</si>
  <si>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</si>
  <si>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</si>
  <si>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</si>
  <si>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</si>
  <si>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</si>
  <si>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</si>
  <si>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</si>
  <si>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</si>
  <si>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</si>
  <si>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</si>
  <si>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</si>
  <si>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</si>
  <si>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</si>
  <si>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</si>
  <si>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</si>
  <si>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</si>
  <si>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</si>
  <si>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</si>
  <si>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</si>
  <si>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</si>
  <si>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</si>
  <si>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</si>
  <si>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</si>
  <si>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</si>
  <si>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</si>
  <si>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</si>
  <si>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</si>
  <si>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</si>
  <si>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</si>
  <si>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</si>
  <si>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</si>
  <si>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</si>
  <si>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</si>
  <si>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</si>
  <si>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</si>
  <si>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</si>
  <si>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</si>
  <si>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</si>
  <si>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</si>
  <si>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</si>
  <si>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</si>
  <si>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</si>
  <si>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</si>
  <si>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</si>
  <si>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</si>
  <si>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</si>
  <si>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</si>
  <si>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</si>
  <si>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</si>
  <si>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</si>
  <si>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</si>
  <si>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</si>
  <si>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</si>
  <si>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</si>
  <si>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</si>
  <si>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</si>
  <si>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</si>
  <si>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</si>
  <si>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</si>
  <si>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</si>
  <si>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</si>
  <si>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</si>
  <si>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</si>
  <si>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</si>
  <si>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</si>
  <si>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</si>
  <si>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</si>
  <si>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</si>
  <si>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</si>
  <si>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</si>
  <si>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</si>
  <si>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</si>
  <si>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</si>
  <si>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</si>
  <si>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</si>
  <si>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</si>
  <si>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</si>
  <si>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</si>
  <si>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</si>
  <si>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</si>
  <si>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</si>
  <si>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</si>
  <si>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</si>
  <si>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</si>
  <si>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</si>
  <si>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</si>
  <si>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</si>
  <si>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</si>
  <si>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</si>
  <si>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</si>
  <si>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</si>
  <si>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</si>
  <si>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</si>
  <si>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</si>
  <si>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</si>
  <si>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</si>
  <si>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</si>
  <si>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</si>
  <si>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</si>
  <si>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</si>
  <si>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</si>
  <si>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</si>
  <si>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</si>
  <si>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</si>
  <si>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</si>
  <si>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</si>
  <si>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</si>
  <si>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</si>
  <si>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</si>
  <si>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</si>
  <si>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</si>
  <si>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</si>
  <si>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</si>
  <si>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</si>
  <si>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</si>
  <si>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</si>
  <si>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</si>
  <si>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</si>
  <si>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</si>
  <si>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</si>
  <si>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</si>
  <si>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</si>
  <si>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</si>
  <si>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</si>
  <si>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</si>
  <si>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</si>
  <si>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</si>
  <si>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</si>
  <si>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</si>
  <si>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</si>
  <si>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</si>
  <si>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</si>
  <si>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</si>
  <si>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</si>
  <si>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</si>
  <si>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</si>
  <si>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</si>
  <si>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</si>
  <si>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</si>
  <si>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</si>
  <si>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</si>
  <si>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</si>
  <si>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</si>
  <si>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</si>
  <si>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</si>
  <si>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</si>
  <si>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</si>
  <si>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</si>
  <si>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</si>
  <si>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</si>
  <si>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</si>
  <si>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</si>
  <si>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</si>
  <si>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</si>
  <si>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</si>
  <si>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</si>
  <si>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</si>
  <si>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</si>
  <si>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</si>
  <si>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</si>
  <si>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</si>
  <si>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</si>
  <si>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</si>
  <si>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</si>
  <si>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</si>
  <si>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</si>
  <si>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</si>
  <si>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</si>
  <si>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</si>
  <si>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</si>
  <si>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</si>
  <si>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</si>
  <si>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</si>
  <si>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</si>
  <si>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</si>
  <si>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</si>
  <si>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</si>
  <si>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</si>
  <si>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</si>
  <si>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</si>
  <si>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</si>
  <si>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</si>
  <si>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</si>
  <si>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</si>
  <si>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</si>
  <si>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</si>
  <si>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</si>
  <si>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</si>
  <si>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</si>
  <si>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</si>
  <si>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</si>
  <si>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</si>
  <si>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</si>
  <si>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</si>
  <si>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</si>
  <si>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</si>
  <si>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</si>
  <si>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</si>
  <si>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</si>
  <si>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</si>
  <si>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</si>
  <si>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</si>
  <si>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</si>
  <si>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</si>
  <si>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</si>
  <si>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</si>
  <si>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</si>
  <si>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</si>
  <si>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</si>
  <si>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</si>
  <si>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</si>
  <si>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</si>
  <si>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</si>
  <si>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</si>
  <si>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</si>
  <si>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</si>
  <si>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</si>
  <si>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</si>
  <si>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</si>
  <si>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</si>
  <si>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</si>
  <si>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</si>
  <si>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</si>
  <si>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</si>
  <si>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</si>
  <si>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</si>
  <si>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</si>
  <si>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</si>
  <si>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</si>
  <si>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</si>
  <si>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</si>
  <si>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</si>
  <si>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</si>
  <si>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</si>
  <si>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</si>
  <si>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</si>
  <si>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</si>
  <si>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</si>
  <si>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</si>
  <si>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</si>
  <si>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</si>
  <si>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</si>
  <si>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</si>
  <si>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</si>
  <si>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</si>
  <si>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</si>
  <si>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</si>
  <si>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</si>
  <si>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</si>
  <si>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</si>
  <si>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</si>
  <si>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</si>
  <si>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</si>
  <si>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</si>
  <si>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</si>
  <si>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</si>
  <si>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</si>
  <si>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</si>
  <si>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</si>
  <si>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</si>
  <si>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</si>
  <si>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</si>
  <si>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</si>
  <si>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</si>
  <si>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</si>
  <si>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</si>
  <si>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</si>
  <si>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</si>
  <si>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</si>
  <si>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</si>
  <si>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</si>
  <si>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</si>
  <si>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</si>
  <si>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</si>
  <si>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</si>
  <si>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</si>
  <si>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</si>
  <si>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</si>
  <si>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</si>
  <si>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</si>
  <si>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</si>
  <si>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</si>
  <si>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</si>
  <si>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</si>
  <si>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</si>
  <si>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</si>
  <si>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</si>
  <si>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</si>
  <si>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</si>
  <si>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</si>
  <si>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</si>
  <si>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</si>
  <si>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</si>
  <si>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</si>
  <si>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</si>
  <si>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</si>
  <si>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</si>
  <si>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</si>
  <si>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</si>
  <si>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</si>
  <si>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</si>
  <si>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</si>
  <si>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</si>
  <si>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</si>
  <si>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</si>
  <si>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</si>
  <si>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</si>
  <si>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</si>
  <si>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</si>
  <si>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</si>
  <si>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</si>
  <si>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</si>
  <si>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</si>
  <si>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</si>
  <si>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</si>
  <si>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</si>
  <si>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</si>
  <si>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</si>
  <si>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</si>
  <si>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</si>
  <si>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</si>
  <si>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</si>
  <si>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</si>
  <si>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</si>
  <si>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</si>
  <si>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</si>
  <si>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</si>
  <si>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</si>
  <si>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</si>
  <si>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</si>
  <si>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</si>
  <si>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</si>
  <si>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</si>
  <si>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</si>
  <si>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</si>
  <si>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</si>
  <si>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</si>
  <si>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</si>
  <si>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</si>
  <si>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</si>
  <si>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</si>
  <si>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</si>
  <si>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</si>
  <si>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</si>
  <si>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</si>
  <si>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</si>
  <si>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</si>
  <si>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</si>
  <si>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</si>
  <si>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</si>
  <si>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</si>
  <si>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</si>
  <si>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</si>
  <si>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</si>
  <si>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</si>
  <si>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</si>
  <si>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</si>
  <si>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</si>
  <si>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</si>
  <si>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</si>
  <si>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</si>
  <si>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</si>
  <si>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</si>
  <si>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</si>
  <si>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</si>
  <si>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</si>
  <si>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</si>
  <si>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</si>
  <si>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</si>
  <si>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</si>
  <si>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</si>
  <si>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</si>
  <si>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</si>
  <si>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</si>
  <si>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</si>
  <si>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</si>
  <si>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</si>
  <si>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</si>
  <si>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</si>
  <si>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</si>
  <si>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</si>
  <si>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</si>
  <si>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</si>
  <si>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</si>
  <si>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</si>
  <si>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</si>
  <si>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</si>
  <si>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</si>
  <si>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</si>
  <si>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</si>
  <si>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</si>
  <si>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</si>
  <si>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</si>
  <si>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</si>
  <si>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</si>
  <si>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</si>
  <si>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</si>
  <si>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</si>
  <si>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</si>
  <si>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</si>
  <si>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</si>
  <si>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</si>
  <si>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</si>
  <si>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</si>
  <si>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</si>
  <si>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</si>
  <si>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</si>
  <si>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</si>
  <si>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</si>
  <si>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</si>
  <si>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</si>
  <si>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</si>
  <si>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</si>
  <si>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</si>
  <si>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</si>
  <si>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</si>
  <si>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</si>
  <si>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</si>
  <si>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</si>
  <si>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</si>
  <si>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</si>
  <si>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</si>
  <si>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</si>
  <si>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</si>
  <si>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</si>
  <si>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</si>
  <si>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</si>
  <si>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</si>
  <si>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</si>
  <si>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</si>
  <si>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</si>
  <si>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</si>
  <si>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</si>
  <si>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</si>
  <si>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</si>
  <si>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</si>
  <si>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</si>
  <si>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</si>
  <si>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</si>
  <si>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</si>
  <si>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</si>
  <si>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</si>
  <si>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</si>
  <si>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</si>
  <si>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</si>
  <si>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</si>
  <si>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</si>
  <si>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</si>
  <si>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</si>
  <si>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</si>
  <si>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</si>
  <si>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</si>
  <si>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</si>
  <si>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</si>
  <si>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</si>
  <si>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</si>
  <si>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</si>
  <si>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</si>
  <si>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</si>
  <si>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</si>
  <si>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</si>
  <si>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</si>
  <si>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</si>
  <si>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</si>
  <si>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</si>
  <si>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</si>
  <si>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</si>
  <si>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</si>
  <si>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</si>
  <si>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</si>
  <si>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</si>
  <si>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</si>
  <si>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</si>
  <si>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</si>
  <si>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</si>
  <si>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</si>
  <si>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</si>
  <si>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</si>
  <si>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</si>
  <si>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</si>
  <si>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</si>
  <si>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</si>
  <si>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</si>
  <si>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</si>
  <si>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</si>
  <si>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</si>
  <si>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</si>
  <si>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</si>
  <si>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</si>
  <si>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</si>
  <si>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</si>
  <si>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</si>
  <si>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</si>
  <si>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</si>
  <si>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</si>
  <si>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</si>
  <si>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</si>
  <si>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</si>
  <si>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</si>
  <si>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</si>
  <si>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</si>
  <si>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</si>
  <si>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</si>
  <si>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</si>
  <si>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</si>
  <si>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</si>
  <si>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</si>
  <si>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</si>
  <si>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</si>
  <si>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</si>
  <si>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</si>
  <si>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</si>
  <si>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</si>
  <si>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</si>
  <si>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</si>
  <si>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</si>
  <si>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</si>
  <si>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</si>
  <si>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</si>
  <si>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</si>
  <si>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</si>
  <si>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</si>
  <si>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</si>
  <si>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</si>
  <si>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</si>
  <si>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</si>
  <si>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</si>
  <si>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</si>
  <si>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</si>
  <si>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</si>
  <si>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</si>
  <si>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</si>
  <si>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</si>
  <si>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</si>
  <si>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</si>
  <si>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</si>
  <si>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</si>
  <si>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</si>
  <si>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</si>
  <si>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</si>
  <si>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</si>
  <si>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</si>
  <si>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</si>
  <si>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</si>
  <si>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</si>
  <si>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</si>
  <si>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</si>
  <si>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</si>
  <si>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</si>
  <si>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</si>
  <si>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</si>
  <si>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</si>
  <si>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</si>
  <si>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</si>
  <si>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</si>
  <si>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</si>
  <si>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</si>
  <si>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</si>
  <si>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</si>
  <si>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</si>
  <si>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</si>
  <si>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</si>
  <si>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</si>
  <si>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</si>
  <si>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</si>
  <si>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</si>
  <si>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</si>
  <si>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</si>
  <si>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</si>
  <si>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</si>
  <si>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</si>
  <si>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</si>
  <si>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</si>
  <si>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</si>
  <si>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</si>
  <si>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</si>
  <si>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</si>
  <si>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</si>
  <si>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</si>
  <si>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</si>
  <si>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</si>
  <si>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</si>
  <si>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</si>
  <si>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</si>
  <si>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</si>
  <si>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</si>
  <si>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</si>
  <si>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</si>
  <si>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</si>
  <si>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</si>
  <si>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</si>
  <si>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</si>
  <si>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</si>
  <si>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</si>
  <si>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</si>
  <si>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</si>
  <si>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</si>
  <si>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</si>
  <si>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</si>
  <si>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</si>
  <si>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</si>
  <si>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</si>
  <si>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</si>
  <si>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</si>
  <si>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</si>
  <si>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</si>
  <si>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</si>
  <si>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</si>
  <si>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</si>
  <si>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</si>
  <si>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</si>
  <si>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</si>
  <si>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</si>
  <si>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</si>
  <si>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</si>
  <si>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</si>
  <si>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</si>
  <si>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</si>
  <si>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</si>
  <si>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</si>
  <si>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</si>
  <si>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</si>
  <si>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</si>
  <si>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</si>
  <si>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</si>
  <si>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</si>
  <si>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</si>
  <si>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</si>
  <si>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</si>
  <si>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</si>
  <si>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</si>
  <si>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</si>
  <si>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</si>
  <si>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</si>
  <si>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</si>
  <si>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</si>
  <si>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</si>
  <si>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</si>
  <si>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</si>
  <si>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</si>
  <si>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</si>
  <si>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</si>
  <si>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</si>
  <si>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</si>
  <si>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</si>
  <si>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</si>
  <si>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</si>
  <si>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</si>
  <si>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</si>
  <si>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</si>
  <si>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</si>
  <si>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</si>
  <si>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</si>
  <si>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</si>
  <si>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</si>
  <si>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</si>
  <si>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</si>
  <si>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</si>
  <si>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</si>
  <si>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</si>
  <si>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</si>
  <si>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</si>
  <si>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</si>
  <si>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</si>
  <si>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</si>
  <si>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</si>
  <si>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</si>
  <si>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</si>
  <si>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</si>
  <si>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</si>
  <si>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</si>
  <si>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</si>
  <si>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</si>
  <si>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</si>
  <si>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</si>
  <si>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</si>
  <si>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</si>
  <si>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</si>
  <si>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</si>
  <si>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</si>
  <si>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</si>
  <si>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</si>
  <si>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</si>
  <si>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</si>
  <si>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</si>
  <si>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</si>
  <si>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</si>
  <si>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</si>
  <si>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</si>
  <si>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</si>
  <si>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</si>
  <si>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</si>
  <si>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</si>
  <si>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</si>
  <si>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</si>
  <si>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</si>
  <si>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</si>
  <si>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</si>
  <si>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</si>
  <si>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</si>
  <si>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</si>
  <si>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</si>
  <si>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</si>
  <si>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</si>
  <si>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</si>
  <si>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</si>
  <si>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</si>
  <si>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</si>
  <si>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</si>
  <si>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</si>
  <si>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</si>
  <si>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</si>
  <si>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</si>
  <si>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</si>
  <si>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</si>
  <si>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</si>
  <si>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</si>
  <si>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</si>
  <si>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</si>
  <si>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</si>
  <si>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</si>
  <si>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</si>
  <si>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</si>
  <si>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</si>
  <si>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</si>
  <si>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</si>
  <si>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</si>
  <si>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</si>
  <si>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</si>
  <si>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</si>
  <si>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</si>
  <si>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</si>
  <si>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</si>
  <si>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</si>
  <si>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</si>
  <si>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</si>
  <si>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</si>
  <si>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</si>
  <si>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</si>
  <si>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</si>
  <si>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</si>
  <si>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</si>
  <si>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</si>
  <si>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</si>
  <si>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</si>
  <si>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</si>
  <si>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</si>
  <si>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</si>
  <si>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</si>
  <si>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</si>
  <si>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</si>
  <si>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</si>
  <si>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</si>
  <si>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</si>
  <si>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</si>
  <si>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</si>
  <si>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</si>
  <si>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</si>
  <si>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</si>
  <si>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</si>
  <si>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</si>
  <si>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</si>
  <si>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</si>
  <si>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</si>
  <si>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</si>
  <si>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</si>
  <si>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</si>
  <si>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</si>
  <si>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</si>
  <si>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</si>
  <si>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</si>
  <si>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</si>
  <si>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</si>
  <si>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</si>
  <si>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</si>
  <si>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</si>
  <si>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</si>
  <si>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</si>
  <si>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</si>
  <si>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</si>
  <si>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</si>
  <si>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</si>
  <si>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</si>
  <si>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</si>
  <si>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</si>
  <si>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</si>
  <si>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</si>
  <si>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</si>
  <si>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</si>
  <si>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</si>
  <si>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</si>
  <si>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</si>
  <si>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</si>
  <si>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</si>
  <si>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</si>
  <si>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</si>
  <si>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</si>
  <si>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</si>
  <si>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</si>
  <si>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</si>
  <si>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</si>
  <si>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</si>
  <si>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</si>
  <si>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</si>
  <si>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</si>
  <si>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</si>
  <si>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</si>
  <si>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</si>
  <si>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</si>
  <si>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</si>
  <si>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</si>
  <si>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</si>
  <si>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</si>
  <si>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</si>
  <si>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</si>
  <si>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</si>
  <si>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</si>
  <si>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</si>
  <si>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</si>
  <si>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</si>
  <si>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</si>
  <si>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</si>
  <si>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</si>
  <si>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</si>
  <si>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</si>
  <si>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</si>
  <si>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</si>
  <si>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</si>
  <si>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</si>
  <si>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</si>
  <si>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</si>
  <si>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</si>
  <si>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</si>
  <si>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</si>
  <si>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</si>
  <si>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</si>
  <si>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</si>
  <si>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</si>
  <si>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</si>
  <si>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</si>
  <si>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</si>
  <si>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</si>
  <si>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</si>
  <si>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</si>
  <si>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</si>
  <si>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</si>
  <si>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</si>
  <si>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</si>
  <si>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</si>
  <si>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</si>
  <si>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</si>
  <si>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</si>
  <si>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</si>
  <si>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</si>
  <si>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</si>
  <si>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</si>
  <si>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</si>
  <si>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</si>
  <si>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</si>
  <si>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</si>
  <si>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</si>
  <si>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</si>
  <si>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</si>
  <si>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</si>
  <si>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</si>
  <si>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</si>
  <si>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</si>
  <si>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</si>
  <si>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</si>
  <si>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</si>
  <si>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</si>
  <si>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</si>
  <si>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</si>
  <si>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</si>
  <si>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</si>
  <si>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</si>
  <si>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</si>
  <si>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</si>
  <si>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</si>
  <si>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</si>
  <si>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</si>
  <si>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</si>
  <si>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</si>
  <si>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</si>
  <si>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</si>
  <si>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</si>
  <si>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</si>
  <si>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</si>
  <si>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</si>
  <si>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</si>
  <si>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</si>
  <si>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</si>
  <si>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</si>
  <si>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</si>
  <si>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</si>
  <si>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</si>
  <si>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</si>
  <si>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</si>
  <si>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</si>
  <si>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</si>
  <si>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</si>
  <si>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</si>
  <si>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</si>
  <si>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</si>
  <si>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</si>
  <si>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</si>
  <si>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</si>
  <si>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</si>
  <si>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</si>
  <si>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</si>
  <si>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</si>
  <si>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</si>
  <si>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</si>
  <si>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</si>
  <si>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</si>
  <si>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</si>
  <si>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</si>
  <si>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</si>
  <si>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</si>
  <si>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</si>
  <si>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</si>
  <si>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</si>
  <si>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</si>
  <si>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</si>
  <si>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</si>
  <si>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</si>
  <si>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</si>
  <si>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</si>
  <si>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</si>
  <si>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</si>
  <si>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</si>
  <si>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</si>
  <si>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</si>
  <si>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</si>
  <si>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</si>
  <si>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</si>
  <si>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</si>
  <si>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</si>
  <si>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</si>
  <si>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</si>
  <si>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</si>
  <si>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</si>
  <si>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</si>
  <si>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</si>
  <si>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</si>
  <si>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</si>
  <si>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</si>
  <si>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</si>
  <si>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</si>
  <si>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</si>
  <si>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</si>
  <si>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</si>
  <si>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</si>
  <si>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</si>
  <si>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</si>
  <si>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</si>
  <si>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</si>
  <si>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</si>
  <si>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</si>
  <si>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</si>
  <si>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</si>
  <si>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</si>
  <si>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</si>
  <si>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</si>
  <si>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</si>
  <si>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</si>
  <si>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</si>
  <si>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</si>
  <si>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</si>
  <si>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</si>
  <si>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</si>
  <si>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</si>
  <si>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</si>
  <si>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</si>
  <si>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</si>
  <si>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</si>
  <si>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</si>
  <si>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</si>
  <si>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</si>
  <si>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</si>
  <si>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</si>
  <si>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</si>
  <si>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</si>
  <si>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</si>
  <si>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</si>
  <si>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</si>
  <si>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</si>
  <si>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</si>
  <si>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</si>
  <si>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</si>
  <si>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</si>
  <si>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</si>
  <si>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</si>
  <si>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</si>
  <si>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</si>
  <si>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</si>
  <si>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</si>
  <si>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</si>
  <si>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</si>
  <si>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</si>
  <si>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</si>
  <si>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</si>
  <si>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</si>
  <si>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</si>
  <si>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</si>
  <si>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</si>
  <si>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</si>
  <si>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</si>
  <si>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</si>
  <si>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</si>
  <si>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</si>
  <si>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</si>
  <si>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</si>
  <si>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</si>
  <si>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</si>
  <si>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</si>
  <si>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</si>
  <si>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</si>
  <si>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</si>
  <si>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</si>
  <si>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</si>
  <si>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</si>
  <si>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</si>
  <si>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</si>
  <si>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</si>
  <si>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</si>
  <si>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</si>
  <si>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</si>
  <si>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</si>
  <si>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</si>
  <si>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</si>
  <si>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</si>
  <si>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</si>
  <si>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</si>
  <si>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</si>
  <si>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</si>
  <si>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</si>
  <si>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</si>
  <si>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</si>
  <si>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</si>
  <si>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</si>
  <si>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</si>
  <si>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</si>
  <si>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</si>
  <si>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</si>
  <si>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</si>
  <si>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</si>
  <si>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</si>
  <si>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</si>
  <si>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</si>
  <si>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</si>
  <si>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</si>
  <si>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</si>
  <si>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</si>
  <si>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</si>
  <si>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</si>
  <si>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</si>
  <si>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</si>
  <si>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</si>
  <si>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</si>
  <si>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</si>
  <si>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</si>
  <si>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</si>
  <si>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</si>
  <si>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</si>
  <si>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</si>
  <si>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</si>
  <si>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</si>
  <si>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</si>
  <si>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</si>
  <si>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</si>
  <si>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</si>
  <si>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</si>
  <si>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</si>
  <si>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</si>
  <si>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</si>
  <si>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</si>
  <si>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</si>
  <si>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</si>
  <si>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</si>
  <si>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</si>
  <si>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</si>
  <si>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</si>
  <si>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</si>
  <si>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</si>
  <si>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</si>
  <si>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</si>
  <si>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</si>
  <si>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</si>
  <si>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</si>
  <si>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</si>
  <si>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</si>
  <si>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</si>
  <si>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</si>
  <si>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</si>
  <si>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</si>
  <si>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</si>
  <si>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</si>
  <si>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</si>
  <si>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</si>
  <si>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</si>
  <si>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</si>
  <si>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</si>
  <si>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</si>
  <si>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</si>
  <si>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</si>
  <si>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</si>
  <si>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</si>
  <si>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</si>
  <si>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</si>
  <si>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</si>
  <si>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</si>
  <si>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</si>
  <si>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</si>
  <si>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</si>
  <si>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</si>
  <si>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</si>
  <si>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</si>
  <si>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</si>
  <si>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</si>
  <si>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</si>
  <si>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</si>
  <si>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</si>
  <si>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</si>
  <si>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</si>
  <si>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</si>
  <si>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</si>
  <si>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</si>
  <si>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</si>
  <si>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</si>
  <si>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</si>
  <si>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</si>
  <si>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</si>
  <si>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</si>
  <si>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</si>
  <si>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</si>
  <si>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</si>
  <si>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</si>
  <si>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</si>
  <si>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</si>
  <si>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</si>
  <si>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</si>
  <si>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</si>
  <si>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</si>
  <si>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</si>
  <si>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</si>
  <si>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</si>
  <si>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</si>
  <si>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</si>
  <si>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</si>
  <si>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</si>
  <si>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</si>
  <si>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</si>
  <si>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</si>
  <si>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</si>
  <si>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</si>
  <si>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</si>
  <si>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</si>
  <si>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</si>
  <si>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</si>
  <si>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</si>
  <si>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</si>
  <si>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</si>
  <si>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</si>
  <si>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</si>
  <si>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</si>
  <si>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</si>
  <si>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</si>
  <si>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</si>
  <si>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</si>
  <si>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</si>
  <si>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</si>
  <si>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</si>
  <si>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</si>
  <si>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</si>
  <si>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</si>
  <si>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</si>
  <si>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</si>
  <si>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</si>
  <si>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</si>
  <si>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</si>
  <si>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</si>
  <si>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</si>
  <si>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</si>
  <si>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</si>
  <si>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</si>
  <si>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</si>
  <si>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</si>
  <si>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</si>
  <si>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</si>
  <si>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</si>
  <si>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</si>
  <si>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</si>
  <si>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</si>
  <si>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</si>
  <si>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</si>
  <si>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</si>
  <si>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</si>
  <si>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</si>
  <si>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</si>
  <si>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</si>
  <si>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</si>
  <si>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</si>
  <si>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</si>
  <si>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</si>
  <si>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</si>
  <si>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</si>
  <si>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</si>
  <si>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</si>
  <si>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</si>
  <si>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</si>
  <si>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</si>
  <si>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</si>
  <si>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</si>
  <si>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</si>
  <si>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</si>
  <si>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</si>
  <si>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</si>
  <si>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</si>
  <si>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</si>
  <si>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</si>
  <si>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</si>
  <si>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</si>
  <si>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</si>
  <si>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</si>
  <si>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</si>
  <si>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</si>
  <si>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</si>
  <si>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</si>
  <si>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</si>
  <si>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</si>
  <si>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</si>
  <si>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</si>
  <si>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</si>
  <si>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</si>
  <si>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</si>
  <si>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</si>
  <si>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</si>
  <si>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</si>
  <si>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</si>
  <si>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</si>
  <si>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</si>
  <si>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</si>
  <si>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</si>
  <si>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</si>
  <si>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</si>
  <si>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</si>
  <si>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</si>
  <si>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</si>
  <si>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</si>
  <si>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</si>
  <si>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</si>
  <si>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</si>
  <si>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</si>
  <si>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</si>
  <si>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</si>
  <si>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</si>
  <si>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</si>
  <si>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</si>
  <si>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</si>
  <si>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</si>
  <si>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</si>
  <si>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</si>
  <si>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</si>
  <si>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</si>
  <si>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</si>
  <si>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</si>
  <si>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</si>
  <si>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</si>
  <si>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</si>
  <si>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</si>
  <si>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</si>
  <si>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</si>
  <si>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</si>
  <si>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</si>
  <si>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</si>
  <si>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</si>
  <si>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</si>
  <si>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</si>
  <si>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</si>
  <si>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</si>
  <si>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</si>
  <si>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</si>
  <si>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</si>
  <si>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</si>
  <si>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</si>
  <si>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</si>
  <si>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</si>
  <si>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</si>
  <si>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</si>
  <si>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</si>
  <si>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</si>
  <si>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</si>
  <si>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</si>
  <si>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</si>
  <si>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</si>
  <si>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</si>
  <si>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</si>
  <si>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</si>
  <si>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</si>
  <si>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</si>
  <si>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</si>
  <si>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</si>
  <si>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</si>
  <si>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</si>
  <si>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</si>
  <si>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</si>
  <si>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</si>
  <si>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</si>
  <si>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</si>
  <si>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</si>
  <si>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</si>
  <si>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</si>
  <si>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</si>
  <si>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</si>
  <si>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</si>
  <si>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</si>
  <si>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</si>
  <si>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</si>
  <si>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</si>
  <si>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</si>
  <si>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</si>
  <si>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</si>
  <si>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</si>
  <si>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</si>
  <si>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</si>
  <si>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</si>
  <si>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</si>
  <si>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</si>
  <si>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</si>
  <si>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</si>
  <si>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</si>
  <si>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</si>
  <si>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</si>
  <si>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</si>
  <si>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</si>
  <si>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</si>
  <si>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</si>
  <si>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</si>
  <si>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</si>
  <si>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</si>
  <si>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</si>
  <si>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</si>
  <si>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</si>
  <si>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</si>
  <si>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</si>
  <si>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</si>
  <si>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</si>
  <si>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</si>
  <si>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</si>
  <si>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</si>
  <si>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</si>
  <si>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</si>
  <si>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</si>
  <si>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</si>
  <si>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</si>
  <si>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</si>
  <si>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</si>
  <si>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</si>
  <si>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</si>
  <si>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</si>
  <si>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</si>
  <si>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</si>
  <si>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</si>
  <si>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</si>
  <si>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</si>
  <si>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</si>
  <si>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</si>
  <si>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</si>
  <si>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</si>
  <si>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</si>
  <si>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</si>
  <si>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</si>
  <si>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</si>
  <si>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</si>
  <si>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</si>
  <si>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</si>
  <si>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</si>
  <si>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</si>
  <si>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</si>
  <si>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</si>
  <si>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</si>
  <si>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</si>
  <si>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</si>
  <si>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</si>
  <si>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</si>
  <si>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</si>
  <si>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</si>
  <si>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</si>
  <si>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</si>
  <si>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</si>
  <si>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</si>
  <si>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</si>
  <si>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</si>
  <si>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</si>
  <si>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</si>
  <si>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</si>
  <si>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</si>
  <si>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</si>
  <si>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</si>
  <si>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</si>
  <si>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</si>
  <si>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</si>
  <si>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</si>
  <si>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</si>
  <si>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</si>
  <si>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</si>
  <si>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</si>
  <si>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</si>
  <si>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</si>
  <si>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</si>
  <si>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</si>
  <si>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</si>
  <si>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</si>
  <si>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</si>
  <si>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</si>
  <si>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</si>
  <si>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</si>
  <si>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</si>
  <si>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</si>
  <si>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</si>
  <si>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</si>
  <si>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</si>
  <si>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</si>
  <si>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</si>
  <si>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</si>
  <si>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</si>
  <si>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</si>
  <si>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</si>
  <si>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</si>
  <si>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</si>
  <si>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</si>
  <si>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</si>
  <si>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</si>
  <si>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</si>
  <si>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</si>
  <si>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</si>
  <si>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</si>
  <si>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</si>
  <si>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</si>
  <si>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</si>
  <si>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</si>
  <si>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</si>
  <si>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</si>
  <si>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</si>
  <si>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</si>
  <si>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</si>
  <si>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</si>
  <si>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</si>
  <si>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</si>
  <si>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</si>
  <si>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</si>
  <si>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</si>
  <si>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</si>
  <si>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</si>
  <si>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</si>
  <si>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</si>
  <si>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</si>
  <si>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</si>
  <si>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</si>
  <si>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</si>
  <si>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</si>
  <si>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</si>
  <si>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</si>
  <si>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</si>
  <si>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</si>
  <si>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</si>
  <si>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</si>
  <si>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</si>
  <si>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</si>
  <si>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</si>
  <si>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</si>
  <si>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</si>
  <si>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</si>
  <si>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</si>
  <si>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</si>
  <si>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</si>
  <si>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</si>
  <si>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</si>
  <si>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</si>
  <si>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</si>
  <si>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</si>
  <si>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</si>
  <si>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</si>
  <si>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</si>
  <si>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</si>
  <si>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</si>
  <si>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</si>
  <si>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</si>
  <si>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</si>
  <si>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</si>
  <si>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</si>
  <si>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</si>
  <si>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</si>
  <si>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</si>
  <si>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</si>
  <si>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</si>
  <si>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</si>
  <si>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</si>
  <si>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</si>
  <si>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</si>
  <si>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</si>
  <si>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</si>
  <si>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</si>
  <si>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</si>
  <si>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</si>
  <si>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</si>
  <si>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</si>
  <si>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</si>
  <si>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</si>
  <si>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</si>
  <si>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</si>
  <si>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</si>
  <si>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</si>
  <si>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</si>
  <si>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</si>
  <si>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</si>
  <si>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</si>
  <si>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</si>
  <si>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</si>
  <si>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</si>
  <si>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</si>
  <si>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</si>
  <si>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</si>
  <si>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</si>
  <si>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</si>
  <si>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</si>
  <si>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</si>
  <si>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</si>
  <si>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</si>
  <si>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</si>
  <si>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</si>
  <si>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</si>
  <si>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</si>
  <si>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</si>
  <si>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</si>
  <si>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</si>
  <si>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</si>
  <si>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</si>
  <si>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</si>
  <si>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</si>
  <si>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</si>
  <si>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</si>
  <si>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</si>
  <si>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</si>
  <si>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</si>
  <si>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</si>
  <si>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</si>
  <si>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</si>
  <si>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</si>
  <si>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</si>
  <si>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</si>
  <si>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</si>
  <si>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</si>
  <si>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</si>
  <si>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</si>
  <si>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</si>
  <si>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</si>
  <si>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</si>
  <si>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</si>
  <si>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</si>
  <si>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</si>
  <si>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</si>
  <si>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</si>
  <si>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</si>
  <si>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</si>
  <si>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</si>
  <si>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</si>
  <si>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</si>
  <si>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</si>
  <si>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</si>
  <si>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</si>
  <si>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</si>
  <si>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</si>
  <si>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</si>
  <si>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</si>
  <si>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</si>
  <si>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</si>
  <si>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</si>
  <si>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</si>
  <si>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</si>
  <si>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</si>
  <si>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</si>
  <si>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</si>
  <si>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</si>
  <si>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</si>
  <si>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</si>
  <si>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</si>
  <si>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</si>
  <si>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</si>
  <si>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</si>
  <si>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</si>
  <si>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</si>
  <si>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</si>
  <si>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</si>
  <si>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</si>
  <si>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</si>
  <si>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</si>
  <si>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</si>
  <si>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</si>
  <si>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</si>
  <si>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</si>
  <si>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</si>
  <si>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</si>
  <si>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</si>
  <si>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</si>
  <si>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</si>
  <si>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</si>
  <si>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</si>
  <si>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</si>
  <si>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</si>
  <si>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</si>
  <si>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</si>
  <si>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</si>
  <si>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</si>
  <si>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</si>
  <si>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</si>
  <si>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</si>
  <si>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</si>
  <si>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</si>
  <si>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</si>
  <si>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</si>
  <si>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</si>
  <si>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</si>
  <si>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</si>
  <si>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</si>
  <si>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</si>
  <si>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</si>
  <si>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</si>
  <si>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</si>
  <si>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</si>
  <si>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</si>
  <si>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</si>
  <si>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</si>
  <si>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</si>
  <si>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</si>
  <si>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</si>
  <si>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</si>
  <si>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</si>
  <si>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</si>
  <si>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</si>
  <si>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</si>
  <si>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</si>
  <si>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</si>
  <si>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</si>
  <si>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</si>
  <si>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</si>
  <si>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</si>
  <si>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</si>
  <si>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</si>
  <si>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</si>
  <si>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</si>
  <si>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</si>
  <si>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</si>
  <si>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</si>
  <si>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</si>
  <si>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</si>
  <si>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</si>
  <si>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</si>
  <si>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</si>
  <si>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</si>
  <si>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</si>
  <si>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</si>
  <si>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</si>
  <si>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</si>
  <si>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</si>
  <si>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</si>
  <si>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</si>
  <si>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</si>
  <si>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</si>
  <si>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</si>
  <si>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</si>
  <si>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</si>
  <si>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</si>
  <si>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</si>
  <si>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</si>
  <si>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</si>
  <si>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</si>
  <si>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</si>
  <si>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</si>
  <si>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</si>
  <si>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</si>
  <si>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</si>
  <si>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</si>
  <si>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</si>
  <si>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</si>
  <si>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</si>
  <si>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</si>
  <si>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</si>
  <si>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</si>
  <si>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</si>
  <si>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</si>
  <si>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</si>
  <si>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</si>
  <si>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</si>
  <si>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</si>
  <si>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</si>
  <si>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</si>
  <si>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</si>
  <si>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</si>
  <si>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</si>
  <si>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</si>
  <si>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</si>
  <si>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</si>
  <si>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</si>
  <si>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</si>
  <si>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</si>
  <si>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</si>
  <si>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</si>
  <si>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</si>
  <si>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</si>
  <si>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</si>
  <si>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</si>
  <si>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</si>
  <si>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</si>
  <si>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</si>
  <si>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</si>
  <si>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</si>
  <si>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</si>
  <si>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</si>
  <si>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</si>
  <si>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</si>
  <si>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</si>
  <si>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</si>
  <si>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</si>
  <si>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</si>
  <si>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</si>
  <si>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</si>
  <si>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</si>
  <si>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</si>
  <si>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</si>
  <si>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</si>
  <si>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</si>
  <si>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</si>
  <si>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</si>
  <si>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</si>
  <si>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</si>
  <si>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</si>
  <si>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</si>
  <si>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</si>
  <si>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</si>
  <si>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</si>
  <si>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</si>
  <si>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</si>
  <si>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</si>
  <si>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</si>
  <si>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</si>
  <si>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</si>
  <si>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</si>
  <si>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</si>
  <si>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</si>
  <si>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</si>
  <si>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</si>
  <si>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</si>
  <si>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</si>
  <si>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</si>
  <si>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</si>
  <si>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</si>
  <si>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</si>
  <si>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</si>
  <si>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</si>
  <si>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</si>
  <si>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</si>
  <si>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</si>
  <si>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</si>
  <si>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</si>
  <si>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</si>
  <si>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</si>
  <si>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</si>
  <si>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</si>
  <si>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</si>
  <si>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</si>
  <si>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</si>
  <si>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</si>
  <si>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</si>
  <si>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</si>
  <si>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</si>
  <si>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</si>
  <si>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</si>
  <si>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</si>
  <si>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</si>
  <si>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</si>
  <si>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</si>
  <si>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</si>
  <si>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</si>
  <si>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</si>
  <si>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</si>
  <si>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</si>
  <si>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</si>
  <si>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</si>
  <si>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</si>
  <si>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</si>
  <si>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</si>
  <si>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</si>
  <si>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</si>
  <si>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</si>
  <si>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</si>
  <si>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</si>
  <si>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</si>
  <si>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</si>
  <si>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</si>
  <si>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</si>
  <si>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</si>
  <si>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</si>
  <si>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</si>
  <si>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</si>
  <si>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</si>
  <si>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</si>
  <si>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</si>
  <si>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</si>
  <si>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</si>
  <si>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</si>
  <si>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</si>
  <si>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</si>
  <si>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</si>
  <si>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</si>
  <si>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</si>
  <si>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</si>
  <si>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</si>
  <si>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</si>
  <si>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</si>
  <si>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</si>
  <si>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</si>
  <si>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</si>
  <si>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</si>
  <si>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</si>
  <si>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</si>
  <si>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</si>
  <si>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</si>
  <si>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</si>
  <si>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</si>
  <si>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</si>
  <si>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</si>
  <si>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</si>
  <si>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</si>
  <si>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</si>
  <si>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</si>
  <si>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</si>
  <si>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</si>
  <si>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</si>
  <si>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</si>
  <si>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</si>
  <si>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</si>
  <si>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</si>
  <si>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</si>
  <si>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</si>
  <si>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</si>
  <si>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</si>
  <si>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</si>
  <si>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</si>
  <si>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</si>
  <si>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</si>
  <si>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</si>
  <si>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</si>
  <si>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</si>
  <si>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</si>
  <si>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</si>
  <si>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</si>
  <si>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</si>
  <si>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</si>
  <si>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</si>
  <si>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</si>
  <si>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</si>
  <si>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</si>
  <si>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</si>
  <si>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</si>
  <si>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</si>
  <si>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</si>
  <si>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</si>
  <si>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</si>
  <si>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</si>
  <si>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</si>
  <si>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</si>
  <si>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</si>
  <si>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</si>
  <si>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</si>
  <si>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</si>
  <si>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</si>
  <si>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</si>
  <si>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</si>
  <si>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</si>
  <si>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</si>
  <si>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</si>
  <si>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</si>
  <si>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</si>
  <si>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</si>
  <si>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</si>
  <si>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</si>
  <si>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</si>
  <si>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</si>
  <si>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</si>
  <si>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</si>
  <si>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</si>
  <si>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</si>
  <si>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</si>
  <si>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</si>
  <si>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</si>
  <si>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</si>
  <si>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</si>
  <si>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</si>
  <si>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</si>
  <si>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</si>
  <si>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</si>
  <si>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</si>
  <si>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</si>
  <si>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</si>
  <si>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</si>
  <si>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</si>
  <si>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</si>
  <si>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</si>
  <si>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</si>
  <si>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</si>
  <si>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</si>
  <si>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</si>
  <si>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</si>
  <si>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</si>
  <si>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</si>
  <si>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</si>
  <si>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</si>
  <si>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</si>
  <si>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</si>
  <si>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</si>
  <si>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</si>
  <si>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</si>
  <si>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</si>
  <si>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</si>
  <si>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</si>
  <si>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</si>
  <si>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</si>
  <si>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</si>
  <si>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</si>
  <si>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</si>
  <si>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</si>
  <si>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</si>
  <si>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</si>
  <si>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</si>
  <si>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</si>
  <si>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</si>
  <si>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</si>
  <si>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</si>
  <si>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</si>
  <si>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</si>
  <si>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</si>
  <si>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</si>
  <si>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</si>
  <si>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</si>
  <si>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</si>
  <si>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</si>
  <si>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</si>
  <si>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</si>
  <si>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</si>
  <si>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</si>
  <si>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</si>
  <si>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</si>
  <si>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</si>
  <si>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</si>
  <si>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</si>
  <si>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</si>
  <si>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</si>
  <si>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</si>
  <si>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</si>
  <si>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</si>
  <si>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</si>
  <si>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</si>
  <si>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</si>
  <si>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</si>
  <si>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</si>
  <si>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</si>
  <si>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</si>
  <si>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</si>
  <si>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</si>
  <si>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</si>
  <si>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</si>
  <si>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</si>
  <si>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</si>
  <si>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</si>
  <si>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</si>
  <si>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</si>
  <si>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</si>
  <si>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</si>
  <si>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</si>
  <si>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</si>
  <si>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</si>
  <si>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</si>
  <si>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</si>
  <si>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</si>
  <si>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</si>
  <si>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</si>
  <si>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</si>
  <si>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</si>
  <si>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</si>
  <si>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</si>
  <si>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</si>
  <si>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</si>
  <si>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</si>
  <si>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</si>
  <si>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</si>
  <si>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</si>
  <si>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</si>
  <si>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</si>
  <si>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</si>
  <si>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</si>
  <si>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</si>
  <si>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</si>
  <si>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</si>
  <si>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</si>
  <si>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</si>
  <si>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</si>
  <si>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</si>
  <si>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</si>
  <si>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</si>
  <si>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</si>
  <si>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</si>
  <si>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</si>
  <si>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</si>
  <si>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</si>
  <si>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</si>
  <si>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</si>
  <si>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</si>
  <si>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</si>
  <si>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</si>
  <si>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</si>
  <si>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</si>
  <si>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</si>
  <si>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</si>
  <si>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</si>
  <si>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</si>
  <si>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</si>
  <si>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</si>
  <si>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</si>
  <si>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</si>
  <si>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</si>
  <si>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</si>
  <si>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</si>
  <si>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</si>
  <si>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</si>
  <si>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</si>
  <si>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</si>
  <si>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</si>
  <si>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</si>
  <si>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</si>
  <si>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</si>
  <si>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</si>
  <si>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</si>
  <si>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</si>
  <si>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</si>
  <si>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</si>
  <si>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</si>
  <si>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</si>
  <si>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</si>
  <si>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</si>
  <si>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</si>
  <si>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</si>
  <si>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</si>
  <si>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</si>
  <si>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</si>
  <si>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</si>
  <si>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</si>
  <si>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</si>
  <si>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</si>
  <si>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</si>
  <si>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</si>
  <si>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</si>
  <si>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</si>
  <si>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</si>
  <si>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</si>
  <si>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</si>
  <si>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</si>
  <si>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</si>
  <si>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</si>
  <si>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</si>
  <si>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</si>
  <si>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</si>
  <si>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</si>
  <si>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</si>
  <si>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</si>
  <si>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</si>
  <si>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</si>
  <si>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</si>
  <si>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</si>
  <si>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</si>
  <si>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</si>
  <si>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</si>
  <si>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</si>
  <si>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</si>
  <si>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</si>
  <si>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</si>
  <si>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</si>
  <si>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</si>
  <si>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</si>
  <si>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</si>
  <si>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</si>
  <si>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</si>
  <si>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</si>
  <si>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</si>
  <si>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</si>
  <si>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</si>
  <si>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</si>
  <si>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</si>
  <si>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</si>
  <si>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</si>
  <si>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</si>
  <si>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</si>
  <si>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</si>
  <si>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</si>
  <si>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</si>
  <si>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</si>
  <si>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</si>
  <si>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</si>
  <si>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</si>
  <si>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</si>
  <si>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</si>
  <si>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</si>
  <si>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</si>
  <si>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</si>
  <si>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</si>
  <si>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</si>
  <si>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</si>
  <si>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</si>
  <si>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</si>
  <si>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</si>
  <si>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</si>
  <si>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</si>
  <si>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</si>
  <si>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</si>
  <si>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</si>
  <si>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</si>
  <si>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</si>
  <si>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</si>
  <si>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</si>
  <si>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</si>
  <si>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</si>
  <si>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</si>
  <si>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</si>
  <si>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</si>
  <si>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</si>
  <si>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</si>
  <si>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</si>
  <si>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</si>
  <si>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</si>
  <si>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</si>
  <si>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</si>
  <si>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</si>
  <si>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</si>
  <si>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</si>
  <si>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</si>
  <si>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</si>
  <si>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</si>
  <si>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</si>
  <si>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</si>
  <si>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</si>
  <si>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</si>
  <si>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</si>
  <si>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</si>
  <si>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</si>
  <si>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</si>
  <si>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</si>
  <si>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</si>
  <si>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</si>
  <si>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</si>
  <si>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</si>
  <si>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</si>
  <si>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</si>
  <si>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</si>
  <si>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</si>
  <si>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</si>
  <si>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</si>
  <si>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</si>
  <si>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</si>
  <si>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</si>
  <si>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</si>
  <si>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</si>
  <si>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</si>
  <si>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</si>
  <si>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</si>
  <si>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</si>
  <si>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</si>
  <si>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</si>
  <si>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</si>
  <si>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</si>
  <si>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</si>
  <si>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</si>
  <si>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</si>
  <si>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</si>
  <si>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</si>
  <si>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</si>
  <si>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</si>
  <si>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</si>
  <si>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</si>
  <si>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</si>
  <si>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</si>
  <si>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</si>
  <si>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</si>
  <si>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</si>
  <si>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</si>
  <si>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</si>
  <si>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</si>
  <si>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</si>
  <si>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</si>
  <si>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</si>
  <si>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</si>
  <si>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</si>
  <si>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</si>
  <si>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</si>
  <si>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</si>
  <si>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</si>
  <si>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</si>
  <si>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</si>
  <si>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</si>
  <si>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</si>
  <si>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</si>
  <si>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</si>
  <si>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</si>
  <si>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</si>
  <si>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</si>
  <si>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</si>
  <si>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</si>
  <si>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</si>
  <si>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</si>
  <si>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</si>
  <si>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</si>
  <si>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</si>
  <si>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</si>
  <si>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</si>
  <si>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</si>
  <si>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</si>
  <si>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</si>
  <si>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</si>
  <si>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</si>
  <si>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</si>
  <si>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</si>
  <si>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</si>
  <si>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</si>
  <si>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</si>
  <si>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</si>
  <si>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</si>
  <si>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</si>
  <si>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</si>
  <si>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</si>
  <si>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</si>
  <si>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</si>
  <si>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</si>
  <si>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</si>
  <si>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</si>
  <si>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</si>
  <si>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</si>
  <si>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</si>
  <si>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</si>
  <si>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</si>
  <si>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</si>
  <si>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</si>
  <si>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</si>
  <si>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</si>
  <si>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</si>
  <si>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</si>
  <si>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</si>
  <si>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</si>
  <si>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</si>
  <si>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</si>
  <si>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</si>
  <si>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</si>
  <si>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</si>
  <si>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</si>
  <si>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</si>
  <si>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</si>
  <si>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</si>
  <si>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</si>
  <si>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</si>
  <si>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</si>
  <si>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</si>
  <si>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</si>
  <si>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</si>
  <si>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</si>
  <si>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</si>
  <si>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</si>
  <si>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</si>
  <si>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</si>
  <si>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</si>
  <si>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</si>
  <si>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</si>
  <si>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</si>
  <si>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</si>
  <si>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</si>
  <si>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</si>
  <si>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</si>
  <si>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</si>
  <si>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</si>
  <si>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</si>
  <si>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</si>
  <si>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</si>
  <si>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</si>
  <si>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</si>
  <si>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</si>
  <si>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</si>
  <si>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</si>
  <si>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</si>
  <si>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</si>
  <si>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</si>
  <si>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</si>
  <si>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</si>
  <si>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</si>
  <si>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</si>
  <si>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</si>
  <si>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</si>
  <si>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</si>
  <si>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</si>
  <si>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</si>
  <si>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</si>
  <si>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</si>
  <si>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</si>
  <si>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</si>
  <si>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</si>
  <si>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</si>
  <si>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</si>
  <si>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</si>
  <si>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</si>
  <si>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</si>
  <si>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</si>
  <si>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</si>
  <si>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</si>
  <si>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</si>
  <si>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</si>
  <si>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</si>
  <si>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</si>
  <si>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</si>
  <si>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</si>
  <si>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</si>
  <si>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</si>
  <si>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</si>
  <si>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</si>
  <si>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</si>
  <si>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</si>
  <si>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</si>
  <si>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</si>
  <si>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</si>
  <si>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</si>
  <si>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</si>
  <si>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</si>
  <si>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</si>
  <si>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</si>
  <si>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</si>
  <si>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</si>
  <si>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</si>
  <si>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</si>
  <si>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</si>
  <si>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</si>
  <si>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</si>
  <si>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</si>
  <si>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</si>
  <si>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</si>
  <si>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</si>
  <si>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</si>
  <si>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</si>
  <si>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</si>
  <si>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</si>
  <si>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</si>
  <si>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</si>
  <si>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</si>
  <si>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</si>
  <si>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</si>
  <si>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</si>
  <si>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</si>
  <si>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</si>
  <si>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</si>
  <si>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</si>
  <si>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</si>
  <si>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</si>
  <si>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</si>
  <si>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</si>
  <si>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</si>
  <si>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</si>
  <si>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</si>
  <si>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</si>
  <si>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</si>
  <si>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</si>
  <si>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</si>
  <si>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</si>
  <si>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</si>
  <si>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</si>
  <si>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</si>
  <si>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</si>
  <si>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</si>
  <si>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</si>
  <si>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</si>
  <si>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</si>
  <si>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</si>
  <si>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</si>
  <si>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</si>
  <si>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</si>
  <si>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</si>
  <si>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</si>
  <si>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</si>
  <si>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</si>
  <si>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</si>
  <si>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</si>
  <si>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</si>
  <si>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</si>
  <si>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</si>
  <si>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</si>
  <si>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</si>
  <si>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</si>
  <si>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</si>
  <si>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</si>
  <si>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</si>
  <si>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</si>
  <si>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</si>
  <si>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</si>
  <si>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</si>
  <si>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</si>
  <si>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</si>
  <si>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</si>
  <si>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</si>
  <si>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</si>
  <si>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</si>
  <si>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</si>
  <si>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</si>
  <si>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</si>
  <si>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</si>
  <si>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</si>
  <si>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</si>
  <si>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</si>
  <si>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</si>
  <si>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</si>
  <si>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</si>
  <si>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</si>
  <si>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</si>
  <si>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</si>
  <si>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</si>
  <si>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</si>
  <si>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</si>
  <si>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</si>
  <si>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</si>
  <si>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</si>
  <si>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</si>
  <si>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</si>
  <si>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</si>
  <si>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</si>
  <si>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</si>
  <si>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</si>
  <si>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</si>
  <si>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</si>
  <si>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</si>
  <si>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</si>
  <si>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</si>
  <si>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</si>
  <si>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</si>
  <si>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</si>
  <si>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</si>
  <si>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</si>
  <si>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</si>
  <si>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</si>
  <si>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</si>
  <si>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</si>
  <si>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</si>
  <si>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</si>
  <si>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</si>
  <si>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</si>
  <si>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</si>
  <si>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</si>
  <si>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</si>
  <si>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</si>
  <si>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</si>
  <si>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</si>
  <si>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</si>
  <si>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</si>
  <si>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</si>
  <si>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</si>
  <si>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</si>
  <si>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</si>
  <si>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</si>
  <si>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</si>
  <si>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</si>
  <si>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</si>
  <si>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</si>
  <si>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</si>
  <si>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</si>
  <si>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</si>
  <si>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</si>
  <si>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</si>
  <si>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</si>
  <si>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</si>
  <si>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</si>
  <si>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</si>
  <si>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</si>
  <si>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</si>
  <si>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</si>
  <si>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</si>
  <si>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</si>
  <si>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</si>
  <si>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</si>
  <si>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</si>
  <si>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</si>
  <si>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</si>
  <si>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</si>
  <si>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</si>
  <si>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</si>
  <si>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</si>
  <si>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</si>
  <si>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</si>
  <si>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</si>
  <si>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</si>
  <si>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</si>
  <si>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</si>
  <si>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</si>
  <si>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</si>
  <si>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</si>
  <si>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</si>
  <si>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</si>
  <si>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</si>
  <si>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</si>
  <si>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</si>
  <si>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</si>
  <si>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</si>
  <si>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</si>
  <si>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</si>
  <si>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</si>
  <si>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</si>
  <si>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</si>
  <si>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</si>
  <si>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</si>
  <si>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</si>
  <si>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</si>
  <si>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</si>
  <si>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</si>
  <si>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</si>
  <si>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</si>
  <si>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</si>
  <si>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</si>
  <si>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</si>
  <si>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</si>
  <si>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</si>
  <si>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</si>
  <si>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</si>
  <si>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</si>
  <si>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</si>
  <si>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</si>
  <si>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</si>
  <si>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</si>
  <si>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</si>
  <si>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</si>
  <si>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</si>
  <si>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</si>
  <si>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</si>
  <si>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</si>
  <si>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</si>
  <si>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</si>
  <si>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</si>
  <si>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</si>
  <si>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</si>
  <si>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</si>
  <si>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</si>
  <si>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</si>
  <si>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</si>
  <si>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</si>
  <si>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</si>
  <si>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</si>
  <si>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</si>
  <si>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submit PPP50 by 28Feb. See bpost</t>
  </si>
  <si>
    <t>fine: boy}GP</t>
  </si>
  <si>
    <t>PPP12c</t>
  </si>
  <si>
    <t>pay down from 250k to cpfOA capacity</t>
  </si>
  <si>
    <t>&lt;&lt;both2go down on&gt;&gt;</t>
  </si>
  <si>
    <t>&lt;&lt;&lt;BOC transferred</t>
  </si>
  <si>
    <t xml:space="preserve">&lt; decopule 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</si>
  <si>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</si>
  <si>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</si>
  <si>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</si>
  <si>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</si>
  <si>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</si>
  <si>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</si>
  <si>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</si>
  <si>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</si>
  <si>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</si>
  <si>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</si>
  <si>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</si>
  <si>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</si>
  <si>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</si>
  <si>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</si>
  <si>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</si>
  <si>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</si>
  <si>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</si>
  <si>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</si>
  <si>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</si>
  <si>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</si>
  <si>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</si>
  <si>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</si>
  <si>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</si>
  <si>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</si>
  <si>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</si>
  <si>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</si>
  <si>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</si>
  <si>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</si>
  <si>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</si>
  <si>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</si>
  <si>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</si>
  <si>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</si>
  <si>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</si>
  <si>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</si>
  <si>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</si>
  <si>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</si>
  <si>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</si>
  <si>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</si>
  <si>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</si>
  <si>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</si>
  <si>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</si>
  <si>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</si>
  <si>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</si>
  <si>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</si>
  <si>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KFC</t>
  </si>
  <si>
    <t>bank: khm saving</t>
  </si>
  <si>
    <t>bank: khm TimeD</t>
  </si>
  <si>
    <t>bank: b@a</t>
  </si>
  <si>
    <t>bank: Citi.NA</t>
  </si>
  <si>
    <t>bank: Citi.sg+BOC</t>
  </si>
  <si>
    <t>Jan23 USD/SGD=</t>
  </si>
  <si>
    <t>CGC 19Jan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</si>
  <si>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</si>
  <si>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</si>
  <si>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</si>
  <si>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</si>
  <si>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</si>
  <si>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</si>
  <si>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</si>
  <si>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</si>
  <si>
    <t>&lt; inform HSBC to terminate Premier</t>
  </si>
  <si>
    <t>&lt; HSBC premier to convert to $15k/M mode</t>
  </si>
  <si>
    <t>shopee mosquito</t>
  </si>
  <si>
    <t>6.37 not yet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</si>
  <si>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</si>
  <si>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</si>
  <si>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</si>
  <si>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</si>
  <si>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</si>
  <si>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iras</t>
  </si>
  <si>
    <t>hsbc ccard</t>
  </si>
  <si>
    <t>singpower</t>
  </si>
  <si>
    <t>B10)ePay SBH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</si>
</sst>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3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80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67" fillId="0" borderId="12" xfId="3" applyFont="1" applyBorder="1"/>
    <xf numFmtId="0" fontId="84" fillId="0" borderId="0" xfId="3" applyFont="1"/>
    <xf numFmtId="178" fontId="82" fillId="0" borderId="0" xfId="3" applyNumberFormat="1" applyFont="1" applyAlignment="1"/>
    <xf numFmtId="178" fontId="82" fillId="0" borderId="0" xfId="3" applyNumberFormat="1" applyFont="1" applyAlignment="1">
      <alignment vertical="center"/>
    </xf>
    <xf numFmtId="0" fontId="85" fillId="0" borderId="0" xfId="3" applyFont="1"/>
    <xf numFmtId="0" fontId="0" fillId="0" borderId="0" xfId="0"/>
    <xf numFmtId="0" fontId="83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3" fillId="0" borderId="0" xfId="3" applyFont="1" applyAlignment="1">
      <alignment horizontal="right" vertical="center"/>
    </xf>
    <xf numFmtId="0" fontId="0" fillId="0" borderId="0" xfId="0" applyFill="1" applyBorder="1" applyAlignment="1"/>
    <xf numFmtId="0" fontId="83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0" fontId="78" fillId="21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3" fillId="0" borderId="0" xfId="3" applyFont="1" applyAlignment="1">
      <alignment horizontal="right" vertical="center" wrapText="1"/>
    </xf>
    <xf numFmtId="0" fontId="83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zoomScaleNormal="100" workbookViewId="0">
      <selection activeCell="K9" sqref="K9"/>
    </sheetView>
  </sheetViews>
  <sheetFormatPr defaultColWidth="9.140625" defaultRowHeight="12.75" x14ac:dyDescent="0.2"/>
  <cols>
    <col min="1" max="1" width="1.140625" style="595" customWidth="1"/>
    <col min="2" max="3" width="4.5703125" style="595" bestFit="1" customWidth="1"/>
    <col min="4" max="4" width="4.7109375" style="595" bestFit="1" customWidth="1"/>
    <col min="5" max="5" width="6.85546875" style="595" bestFit="1" customWidth="1"/>
    <col min="6" max="6" width="8.5703125" style="595" bestFit="1" customWidth="1"/>
    <col min="7" max="7" width="11.140625" style="613" bestFit="1" customWidth="1"/>
    <col min="8" max="8" width="4" style="595" bestFit="1" customWidth="1"/>
    <col min="9" max="9" width="8" style="595" bestFit="1" customWidth="1"/>
    <col min="10" max="10" width="6.85546875" style="595" bestFit="1" customWidth="1"/>
    <col min="11" max="11" width="4.28515625" style="595" bestFit="1" customWidth="1"/>
    <col min="12" max="12" width="12.85546875" style="595" customWidth="1"/>
    <col min="13" max="13" width="10.28515625" style="595" bestFit="1" customWidth="1"/>
    <col min="14" max="14" width="11.42578125" style="595" bestFit="1" customWidth="1"/>
    <col min="15" max="15" width="23" style="595" bestFit="1" customWidth="1"/>
    <col min="16" max="16" width="8.5703125" style="595" bestFit="1" customWidth="1"/>
    <col min="17" max="17" width="6.140625" style="595" customWidth="1"/>
    <col min="18" max="18" width="20.85546875" style="595" bestFit="1" customWidth="1"/>
    <col min="19" max="19" width="12.7109375" style="595" bestFit="1" customWidth="1"/>
    <col min="20" max="16384" width="9.140625" style="595"/>
  </cols>
  <sheetData>
    <row r="1" spans="2:16" ht="5.25" customHeight="1" x14ac:dyDescent="0.2">
      <c r="I1" s="596"/>
    </row>
    <row r="2" spans="2:16" ht="15.75" customHeight="1" x14ac:dyDescent="0.2">
      <c r="B2" s="744" t="s">
        <v>1892</v>
      </c>
      <c r="C2" s="744"/>
      <c r="D2" s="744"/>
      <c r="E2" s="746" t="s">
        <v>2537</v>
      </c>
      <c r="F2" s="746" t="s">
        <v>2573</v>
      </c>
      <c r="G2" s="614"/>
      <c r="H2" s="749" t="s">
        <v>2453</v>
      </c>
      <c r="I2" s="745" t="s">
        <v>2551</v>
      </c>
      <c r="J2" s="745"/>
      <c r="K2" s="738" t="s">
        <v>2564</v>
      </c>
      <c r="L2" s="623"/>
      <c r="M2" s="746" t="s">
        <v>2542</v>
      </c>
      <c r="N2" s="748" t="s">
        <v>2553</v>
      </c>
    </row>
    <row r="3" spans="2:16" s="602" customFormat="1" x14ac:dyDescent="0.2">
      <c r="B3" s="597" t="s">
        <v>1891</v>
      </c>
      <c r="C3" s="598" t="s">
        <v>1890</v>
      </c>
      <c r="D3" s="599" t="s">
        <v>2452</v>
      </c>
      <c r="E3" s="747"/>
      <c r="F3" s="747"/>
      <c r="G3" s="615"/>
      <c r="H3" s="750"/>
      <c r="I3" s="600" t="s">
        <v>2675</v>
      </c>
      <c r="J3" s="601" t="s">
        <v>2229</v>
      </c>
      <c r="K3" s="739"/>
      <c r="L3" s="624"/>
      <c r="M3" s="747"/>
      <c r="N3" s="748"/>
    </row>
    <row r="4" spans="2:16" x14ac:dyDescent="0.2">
      <c r="B4" s="595">
        <v>38</v>
      </c>
      <c r="C4" s="595">
        <v>29</v>
      </c>
      <c r="D4" s="595">
        <v>130</v>
      </c>
      <c r="G4" s="613">
        <v>44955</v>
      </c>
      <c r="H4" s="595">
        <v>25</v>
      </c>
      <c r="I4" s="595">
        <f>310-J4</f>
        <v>235</v>
      </c>
      <c r="J4" s="595">
        <v>75</v>
      </c>
      <c r="K4" s="595">
        <v>65</v>
      </c>
      <c r="M4" s="595">
        <v>485.00099999999998</v>
      </c>
      <c r="N4" s="595" t="s">
        <v>2556</v>
      </c>
      <c r="O4" s="610" t="s">
        <v>2611</v>
      </c>
    </row>
    <row r="5" spans="2:16" x14ac:dyDescent="0.2">
      <c r="B5" s="595">
        <v>38</v>
      </c>
      <c r="C5" s="595">
        <v>29</v>
      </c>
      <c r="D5" s="595">
        <f>D4</f>
        <v>130</v>
      </c>
      <c r="G5" s="616">
        <v>44959</v>
      </c>
      <c r="H5" s="595">
        <v>0</v>
      </c>
      <c r="I5" s="595">
        <f>I4+H4</f>
        <v>260</v>
      </c>
      <c r="J5" s="610" t="s">
        <v>2552</v>
      </c>
      <c r="O5" s="603"/>
    </row>
    <row r="6" spans="2:16" x14ac:dyDescent="0.2">
      <c r="B6" s="595" t="s">
        <v>2538</v>
      </c>
      <c r="C6" s="595" t="s">
        <v>2538</v>
      </c>
      <c r="D6" s="595" t="s">
        <v>2617</v>
      </c>
      <c r="G6" s="616">
        <v>44960</v>
      </c>
      <c r="J6" s="610"/>
      <c r="O6" s="610"/>
    </row>
    <row r="7" spans="2:16" x14ac:dyDescent="0.2">
      <c r="D7" s="595">
        <f>D4</f>
        <v>130</v>
      </c>
      <c r="E7" s="595" t="s">
        <v>2575</v>
      </c>
      <c r="F7" s="595" t="s">
        <v>311</v>
      </c>
      <c r="G7" s="613" t="s">
        <v>2676</v>
      </c>
      <c r="H7" s="626"/>
      <c r="M7" s="595">
        <f>M4-SUM(B5:C5)</f>
        <v>418.00099999999998</v>
      </c>
      <c r="N7" s="595" t="s">
        <v>2556</v>
      </c>
    </row>
    <row r="8" spans="2:16" x14ac:dyDescent="0.2">
      <c r="H8" s="626"/>
    </row>
    <row r="9" spans="2:16" x14ac:dyDescent="0.2">
      <c r="B9" s="625"/>
      <c r="G9" s="616">
        <v>44985</v>
      </c>
      <c r="H9" s="678" t="s">
        <v>2613</v>
      </c>
      <c r="P9" s="608"/>
    </row>
    <row r="10" spans="2:16" x14ac:dyDescent="0.2">
      <c r="B10" s="625"/>
      <c r="G10" s="676" t="s">
        <v>2687</v>
      </c>
      <c r="H10" s="626" t="s">
        <v>2681</v>
      </c>
      <c r="O10" s="604"/>
      <c r="P10" s="608"/>
    </row>
    <row r="11" spans="2:16" x14ac:dyDescent="0.2">
      <c r="B11" s="625"/>
      <c r="G11" s="613">
        <v>45015</v>
      </c>
      <c r="H11" s="626"/>
      <c r="I11" s="595">
        <f>I5+K4</f>
        <v>325</v>
      </c>
      <c r="J11" s="595" t="s">
        <v>2618</v>
      </c>
    </row>
    <row r="12" spans="2:16" x14ac:dyDescent="0.2">
      <c r="B12" s="626"/>
      <c r="E12" s="610" t="s">
        <v>2572</v>
      </c>
      <c r="F12" s="604" t="s">
        <v>2686</v>
      </c>
      <c r="G12" s="613">
        <v>45016</v>
      </c>
      <c r="H12" s="626"/>
      <c r="I12" s="604">
        <v>152</v>
      </c>
      <c r="K12" s="608"/>
      <c r="L12" s="608"/>
      <c r="M12" s="595">
        <f>M7-C11-ABS(I11-I12)</f>
        <v>245.00099999999998</v>
      </c>
      <c r="N12" s="608" t="s">
        <v>2567</v>
      </c>
    </row>
    <row r="13" spans="2:16" x14ac:dyDescent="0.2">
      <c r="B13" s="627"/>
      <c r="C13" s="736" t="s">
        <v>2540</v>
      </c>
      <c r="D13" s="736"/>
      <c r="E13" s="736"/>
      <c r="F13" s="736"/>
      <c r="G13" s="736"/>
      <c r="H13" s="736"/>
      <c r="I13" s="736"/>
      <c r="J13" s="736"/>
      <c r="K13" s="736"/>
      <c r="L13" s="736"/>
      <c r="M13" s="736"/>
      <c r="N13" s="736"/>
      <c r="O13" s="736"/>
      <c r="P13" s="736"/>
    </row>
    <row r="14" spans="2:16" x14ac:dyDescent="0.2">
      <c r="B14" s="627"/>
      <c r="C14" s="612"/>
      <c r="D14" s="612"/>
      <c r="E14" s="612"/>
      <c r="F14" s="612"/>
      <c r="G14" s="617"/>
      <c r="H14" s="612"/>
      <c r="I14" s="612"/>
      <c r="J14" s="612"/>
      <c r="K14" s="612"/>
      <c r="L14" s="612"/>
      <c r="M14" s="612"/>
      <c r="N14" s="612"/>
      <c r="O14" s="612"/>
      <c r="P14" s="612"/>
    </row>
    <row r="15" spans="2:16" ht="12.75" customHeight="1" x14ac:dyDescent="0.2">
      <c r="B15" s="626"/>
      <c r="C15" s="611" t="s">
        <v>2565</v>
      </c>
      <c r="D15" s="609"/>
      <c r="E15" s="746" t="s">
        <v>2537</v>
      </c>
      <c r="F15" s="746" t="s">
        <v>2573</v>
      </c>
      <c r="G15" s="615"/>
      <c r="H15" s="749" t="s">
        <v>2551</v>
      </c>
      <c r="I15" s="734" t="s">
        <v>2560</v>
      </c>
      <c r="J15" s="737" t="s">
        <v>2569</v>
      </c>
      <c r="K15" s="737"/>
      <c r="L15" s="738" t="s">
        <v>2601</v>
      </c>
      <c r="M15" s="746" t="s">
        <v>2542</v>
      </c>
      <c r="N15" s="748" t="s">
        <v>2553</v>
      </c>
    </row>
    <row r="16" spans="2:16" x14ac:dyDescent="0.2">
      <c r="B16" s="626"/>
      <c r="C16" s="598" t="s">
        <v>1890</v>
      </c>
      <c r="D16" s="599" t="s">
        <v>2452</v>
      </c>
      <c r="E16" s="747"/>
      <c r="F16" s="747"/>
      <c r="G16" s="618"/>
      <c r="H16" s="750"/>
      <c r="I16" s="735"/>
      <c r="J16" s="619" t="s">
        <v>2570</v>
      </c>
      <c r="K16" s="620" t="s">
        <v>1891</v>
      </c>
      <c r="L16" s="739"/>
      <c r="M16" s="747"/>
      <c r="N16" s="748"/>
    </row>
    <row r="17" spans="2:18" x14ac:dyDescent="0.2">
      <c r="B17" s="626"/>
      <c r="G17" s="740">
        <v>45017</v>
      </c>
      <c r="H17" s="608" t="s">
        <v>2538</v>
      </c>
      <c r="I17" s="733">
        <v>160</v>
      </c>
      <c r="J17" s="733"/>
      <c r="K17" s="595">
        <v>75</v>
      </c>
      <c r="O17" s="595" t="s">
        <v>2568</v>
      </c>
    </row>
    <row r="18" spans="2:18" x14ac:dyDescent="0.2">
      <c r="B18" s="626"/>
      <c r="E18" s="604"/>
      <c r="F18" s="604"/>
      <c r="G18" s="741"/>
      <c r="H18" s="626"/>
      <c r="I18" s="595" t="s">
        <v>2678</v>
      </c>
      <c r="N18" s="608"/>
      <c r="O18" s="595" t="s">
        <v>2566</v>
      </c>
    </row>
    <row r="19" spans="2:18" x14ac:dyDescent="0.2">
      <c r="B19" s="626"/>
      <c r="E19" s="604"/>
      <c r="F19" s="604"/>
      <c r="H19" s="626"/>
      <c r="N19" s="608"/>
    </row>
    <row r="20" spans="2:18" x14ac:dyDescent="0.2">
      <c r="B20" s="626"/>
      <c r="E20" s="742" t="s">
        <v>2677</v>
      </c>
      <c r="F20" s="743"/>
      <c r="G20" s="613">
        <v>45013</v>
      </c>
      <c r="H20" s="626"/>
      <c r="N20" s="608"/>
      <c r="O20" s="605" t="s">
        <v>2672</v>
      </c>
    </row>
    <row r="21" spans="2:18" x14ac:dyDescent="0.2">
      <c r="B21" s="626"/>
      <c r="E21" s="743"/>
      <c r="F21" s="743"/>
      <c r="G21" s="613" t="s">
        <v>2620</v>
      </c>
      <c r="H21" s="626"/>
      <c r="I21" s="595" t="s">
        <v>2619</v>
      </c>
      <c r="N21" s="608"/>
      <c r="O21" s="651" t="s">
        <v>2684</v>
      </c>
    </row>
    <row r="22" spans="2:18" x14ac:dyDescent="0.2">
      <c r="B22" s="626"/>
      <c r="E22" s="673"/>
      <c r="F22" s="673"/>
      <c r="H22" s="626"/>
      <c r="N22" s="608"/>
      <c r="O22" s="605"/>
    </row>
    <row r="23" spans="2:18" x14ac:dyDescent="0.2">
      <c r="B23" s="626"/>
      <c r="E23" s="656"/>
      <c r="F23" s="656"/>
      <c r="G23" s="677" t="s">
        <v>2688</v>
      </c>
      <c r="H23" s="675" t="s">
        <v>2680</v>
      </c>
      <c r="N23" s="608"/>
    </row>
    <row r="24" spans="2:18" x14ac:dyDescent="0.2">
      <c r="B24" s="626"/>
      <c r="E24" s="605"/>
      <c r="F24" s="605"/>
      <c r="G24" s="616">
        <v>45045</v>
      </c>
      <c r="H24" s="626"/>
      <c r="K24" s="608"/>
      <c r="L24" s="608"/>
      <c r="O24" s="606" t="s">
        <v>2622</v>
      </c>
    </row>
    <row r="25" spans="2:18" x14ac:dyDescent="0.2">
      <c r="B25" s="626"/>
      <c r="E25" s="604"/>
      <c r="F25" s="604"/>
      <c r="H25" s="626"/>
      <c r="N25" s="608"/>
      <c r="O25" s="605"/>
    </row>
    <row r="26" spans="2:18" x14ac:dyDescent="0.2">
      <c r="B26" s="627"/>
      <c r="C26" s="736" t="s">
        <v>2541</v>
      </c>
      <c r="D26" s="736"/>
      <c r="E26" s="736"/>
      <c r="F26" s="736"/>
      <c r="G26" s="736"/>
      <c r="H26" s="736"/>
      <c r="I26" s="736"/>
      <c r="J26" s="736"/>
      <c r="K26" s="736"/>
      <c r="L26" s="736"/>
      <c r="M26" s="736"/>
      <c r="N26" s="736"/>
      <c r="O26" s="736"/>
      <c r="P26" s="736"/>
    </row>
    <row r="27" spans="2:18" x14ac:dyDescent="0.2">
      <c r="B27" s="626"/>
      <c r="C27" s="595">
        <v>8</v>
      </c>
      <c r="E27" s="610" t="s">
        <v>2673</v>
      </c>
      <c r="F27" s="605" t="s">
        <v>2686</v>
      </c>
      <c r="G27" s="616">
        <v>45048</v>
      </c>
      <c r="H27" s="626"/>
      <c r="I27" s="595">
        <v>0</v>
      </c>
      <c r="J27" s="595">
        <v>58</v>
      </c>
      <c r="K27" s="595">
        <f>J4</f>
        <v>75</v>
      </c>
      <c r="M27" s="595">
        <f>ABS(SUM(I17:K17)-M12-SUM(I27:K27))</f>
        <v>143.00099999999998</v>
      </c>
      <c r="N27" s="595" t="s">
        <v>2554</v>
      </c>
      <c r="O27" s="595" t="s">
        <v>2616</v>
      </c>
    </row>
    <row r="28" spans="2:18" x14ac:dyDescent="0.2">
      <c r="B28" s="626"/>
      <c r="C28" s="595" t="s">
        <v>2538</v>
      </c>
      <c r="E28" s="610" t="s">
        <v>2615</v>
      </c>
      <c r="F28" s="651" t="s">
        <v>2685</v>
      </c>
      <c r="G28" s="616" t="s">
        <v>2621</v>
      </c>
      <c r="H28" s="626"/>
      <c r="K28" s="608"/>
      <c r="L28" s="608"/>
      <c r="M28" s="595">
        <f>M27-C27</f>
        <v>135.00099999999998</v>
      </c>
      <c r="N28" s="595" t="s">
        <v>2554</v>
      </c>
      <c r="O28" s="595" t="s">
        <v>2557</v>
      </c>
    </row>
    <row r="29" spans="2:18" x14ac:dyDescent="0.2">
      <c r="B29" s="626"/>
      <c r="E29" s="605"/>
      <c r="F29" s="605"/>
      <c r="G29" s="616"/>
      <c r="H29" s="626"/>
      <c r="K29" s="608"/>
      <c r="L29" s="608"/>
      <c r="O29" s="606"/>
    </row>
    <row r="30" spans="2:18" x14ac:dyDescent="0.2">
      <c r="B30" s="626"/>
      <c r="E30" s="605"/>
      <c r="F30" s="605"/>
      <c r="G30" s="653">
        <v>45076</v>
      </c>
      <c r="H30" s="626"/>
      <c r="K30" s="608"/>
      <c r="L30" s="608"/>
      <c r="O30" s="595" t="s">
        <v>2592</v>
      </c>
      <c r="R30" s="606"/>
    </row>
    <row r="31" spans="2:18" x14ac:dyDescent="0.2">
      <c r="B31" s="626"/>
      <c r="C31" s="595">
        <f>20+1</f>
        <v>21</v>
      </c>
      <c r="D31" s="595" t="s">
        <v>2539</v>
      </c>
      <c r="E31" s="605"/>
      <c r="F31" s="605"/>
      <c r="G31" s="653">
        <v>45077</v>
      </c>
      <c r="H31" s="626"/>
      <c r="K31" s="608"/>
      <c r="L31" s="608"/>
      <c r="O31" s="595" t="s">
        <v>2550</v>
      </c>
      <c r="R31" s="606"/>
    </row>
    <row r="32" spans="2:18" x14ac:dyDescent="0.2">
      <c r="B32" s="626"/>
      <c r="E32" s="605"/>
      <c r="F32" s="605"/>
      <c r="G32" s="616">
        <v>45077</v>
      </c>
      <c r="H32" s="608">
        <v>4</v>
      </c>
      <c r="I32" s="595" t="s">
        <v>2558</v>
      </c>
      <c r="K32" s="608"/>
      <c r="L32" s="608"/>
      <c r="R32" s="606"/>
    </row>
    <row r="33" spans="2:18" x14ac:dyDescent="0.2">
      <c r="B33" s="626"/>
      <c r="E33" s="605"/>
      <c r="F33" s="605"/>
      <c r="G33" s="616">
        <v>45077</v>
      </c>
      <c r="H33" s="608">
        <v>4.2</v>
      </c>
      <c r="I33" s="595" t="s">
        <v>2559</v>
      </c>
      <c r="K33" s="608"/>
      <c r="L33" s="608"/>
      <c r="O33" s="595" t="s">
        <v>2571</v>
      </c>
      <c r="R33" s="606"/>
    </row>
    <row r="34" spans="2:18" x14ac:dyDescent="0.2">
      <c r="B34" s="626"/>
      <c r="E34" s="605"/>
      <c r="F34" s="605"/>
      <c r="G34" s="616"/>
      <c r="H34" s="608"/>
      <c r="K34" s="608"/>
      <c r="L34" s="608"/>
      <c r="R34" s="606"/>
    </row>
    <row r="35" spans="2:18" x14ac:dyDescent="0.2">
      <c r="B35" s="626"/>
      <c r="G35" s="652">
        <v>45078</v>
      </c>
      <c r="H35" s="608"/>
      <c r="K35" s="608"/>
      <c r="L35" s="608"/>
      <c r="O35" s="595" t="s">
        <v>2563</v>
      </c>
    </row>
    <row r="36" spans="2:18" x14ac:dyDescent="0.2">
      <c r="B36" s="626"/>
      <c r="C36" s="595" t="s">
        <v>2538</v>
      </c>
      <c r="E36" s="610" t="s">
        <v>2574</v>
      </c>
      <c r="F36" s="607" t="s">
        <v>1883</v>
      </c>
      <c r="G36" s="652">
        <v>45079</v>
      </c>
      <c r="H36" s="608"/>
      <c r="K36" s="608"/>
      <c r="L36" s="608"/>
      <c r="M36" s="595">
        <f>M28-C31</f>
        <v>114.00099999999998</v>
      </c>
      <c r="N36" s="595" t="s">
        <v>2555</v>
      </c>
      <c r="O36" s="595" t="s">
        <v>2623</v>
      </c>
    </row>
    <row r="37" spans="2:18" x14ac:dyDescent="0.2">
      <c r="B37" s="626"/>
      <c r="E37" s="606"/>
      <c r="F37" s="606"/>
      <c r="H37" s="608"/>
      <c r="K37" s="608"/>
      <c r="L37" s="608"/>
    </row>
    <row r="38" spans="2:18" x14ac:dyDescent="0.2">
      <c r="B38" s="626"/>
      <c r="E38" s="607"/>
      <c r="H38" s="608"/>
      <c r="K38" s="608"/>
      <c r="L38" s="608"/>
    </row>
    <row r="39" spans="2:18" x14ac:dyDescent="0.2">
      <c r="B39" s="626"/>
      <c r="E39" s="607"/>
      <c r="G39" s="616">
        <v>45104</v>
      </c>
      <c r="H39" s="608"/>
      <c r="K39" s="608"/>
      <c r="L39" s="608"/>
      <c r="O39" s="595" t="s">
        <v>2548</v>
      </c>
    </row>
    <row r="40" spans="2:18" x14ac:dyDescent="0.2">
      <c r="B40" s="626"/>
      <c r="C40" s="595">
        <f>113+1</f>
        <v>114</v>
      </c>
      <c r="D40" s="595" t="s">
        <v>2539</v>
      </c>
      <c r="G40" s="616">
        <v>45105</v>
      </c>
      <c r="H40" s="608"/>
      <c r="K40" s="608"/>
      <c r="L40" s="608"/>
      <c r="O40" s="595" t="s">
        <v>2549</v>
      </c>
    </row>
    <row r="41" spans="2:18" x14ac:dyDescent="0.2">
      <c r="B41" s="626"/>
      <c r="G41" s="616">
        <v>45107</v>
      </c>
      <c r="H41" s="608"/>
      <c r="K41" s="608"/>
      <c r="L41" s="608"/>
      <c r="O41" s="595" t="s">
        <v>2563</v>
      </c>
    </row>
    <row r="42" spans="2:18" x14ac:dyDescent="0.2">
      <c r="B42" s="626"/>
      <c r="D42" s="595">
        <v>0</v>
      </c>
      <c r="E42" s="654" t="s">
        <v>2545</v>
      </c>
      <c r="F42" s="654" t="s">
        <v>2546</v>
      </c>
      <c r="G42" s="616">
        <v>45110</v>
      </c>
      <c r="H42" s="608"/>
      <c r="K42" s="608"/>
      <c r="L42" s="608"/>
    </row>
    <row r="43" spans="2:18" x14ac:dyDescent="0.2">
      <c r="H43" s="608"/>
      <c r="K43" s="608"/>
      <c r="L43" s="608"/>
    </row>
    <row r="44" spans="2:18" x14ac:dyDescent="0.2">
      <c r="H44" s="608"/>
      <c r="K44" s="608"/>
      <c r="L44" s="608"/>
      <c r="O44" s="628" t="s">
        <v>2547</v>
      </c>
      <c r="P44" s="629">
        <v>10000</v>
      </c>
    </row>
    <row r="45" spans="2:18" x14ac:dyDescent="0.2">
      <c r="O45" s="628" t="s">
        <v>2544</v>
      </c>
      <c r="P45" s="630">
        <f>3.78%-2.5%</f>
        <v>1.2799999999999999E-2</v>
      </c>
    </row>
    <row r="46" spans="2:18" x14ac:dyDescent="0.2">
      <c r="O46" s="628" t="s">
        <v>2543</v>
      </c>
      <c r="P46" s="631">
        <f>P44*P45/12</f>
        <v>10.666666666666666</v>
      </c>
    </row>
  </sheetData>
  <mergeCells count="21">
    <mergeCell ref="N2:N3"/>
    <mergeCell ref="E15:E16"/>
    <mergeCell ref="F15:F16"/>
    <mergeCell ref="M15:M16"/>
    <mergeCell ref="N15:N16"/>
    <mergeCell ref="H15:H16"/>
    <mergeCell ref="H2:H3"/>
    <mergeCell ref="B2:D2"/>
    <mergeCell ref="I2:J2"/>
    <mergeCell ref="E2:E3"/>
    <mergeCell ref="F2:F3"/>
    <mergeCell ref="M2:M3"/>
    <mergeCell ref="K2:K3"/>
    <mergeCell ref="I17:J17"/>
    <mergeCell ref="I15:I16"/>
    <mergeCell ref="C26:P26"/>
    <mergeCell ref="C13:P13"/>
    <mergeCell ref="J15:K15"/>
    <mergeCell ref="L15:L16"/>
    <mergeCell ref="G17:G18"/>
    <mergeCell ref="E20:F21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51" t="s">
        <v>1914</v>
      </c>
      <c r="D3" s="751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2652</v>
      </c>
      <c r="E3" s="263"/>
      <c r="F3" s="263"/>
      <c r="G3" s="753" t="s">
        <v>2631</v>
      </c>
      <c r="H3" s="754"/>
      <c r="I3" s="660"/>
      <c r="J3" s="753">
        <v>43891</v>
      </c>
      <c r="K3" s="754"/>
      <c r="L3" s="306"/>
      <c r="M3" s="753">
        <v>43739</v>
      </c>
      <c r="N3" s="754"/>
    </row>
    <row r="4" spans="2:14" x14ac:dyDescent="0.2">
      <c r="B4" s="63" t="s">
        <v>324</v>
      </c>
      <c r="C4" s="71" t="s">
        <v>2658</v>
      </c>
      <c r="D4" s="63" t="s">
        <v>1053</v>
      </c>
      <c r="E4" s="63" t="s">
        <v>309</v>
      </c>
      <c r="F4" s="63" t="s">
        <v>1200</v>
      </c>
      <c r="G4" s="664"/>
      <c r="H4" s="233">
        <f>K4</f>
        <v>20000</v>
      </c>
      <c r="I4" s="233"/>
      <c r="J4" s="664"/>
      <c r="K4" s="668">
        <f>N4</f>
        <v>20000</v>
      </c>
      <c r="L4" s="233"/>
      <c r="M4" s="664"/>
      <c r="N4" s="233">
        <v>20000</v>
      </c>
    </row>
    <row r="5" spans="2:14" x14ac:dyDescent="0.2">
      <c r="B5" s="63" t="s">
        <v>324</v>
      </c>
      <c r="C5" s="71" t="s">
        <v>2658</v>
      </c>
      <c r="D5" s="71" t="s">
        <v>1053</v>
      </c>
      <c r="E5" s="63" t="s">
        <v>2659</v>
      </c>
      <c r="F5" s="63" t="s">
        <v>1200</v>
      </c>
      <c r="G5" s="664"/>
      <c r="H5" s="233">
        <f>300*6</f>
        <v>1800</v>
      </c>
      <c r="I5" s="233"/>
      <c r="J5" s="664"/>
      <c r="K5" s="668">
        <f>N5</f>
        <v>1200</v>
      </c>
      <c r="L5" s="233"/>
      <c r="M5" s="664"/>
      <c r="N5" s="233">
        <f>200*6</f>
        <v>1200</v>
      </c>
    </row>
    <row r="6" spans="2:14" s="657" customFormat="1" x14ac:dyDescent="0.2">
      <c r="B6" s="63" t="s">
        <v>317</v>
      </c>
      <c r="C6" s="71" t="s">
        <v>317</v>
      </c>
      <c r="D6" s="71" t="s">
        <v>1060</v>
      </c>
      <c r="E6" s="63" t="s">
        <v>2665</v>
      </c>
      <c r="F6" s="63" t="s">
        <v>1200</v>
      </c>
      <c r="G6" s="664"/>
      <c r="H6" s="233">
        <v>2000</v>
      </c>
      <c r="I6" s="233"/>
      <c r="J6" s="664"/>
      <c r="K6" s="233">
        <v>564</v>
      </c>
      <c r="L6" s="233"/>
      <c r="M6" s="664"/>
      <c r="N6" s="233">
        <v>6100</v>
      </c>
    </row>
    <row r="7" spans="2:14" x14ac:dyDescent="0.2">
      <c r="B7" s="63" t="s">
        <v>317</v>
      </c>
      <c r="C7" s="71" t="s">
        <v>2658</v>
      </c>
      <c r="D7" s="71" t="s">
        <v>1060</v>
      </c>
      <c r="E7" s="63" t="s">
        <v>2666</v>
      </c>
      <c r="F7" s="63" t="s">
        <v>1200</v>
      </c>
      <c r="G7" s="664"/>
      <c r="H7" s="233">
        <v>23000</v>
      </c>
      <c r="I7" s="233"/>
      <c r="J7" s="664"/>
      <c r="K7" s="233">
        <v>0</v>
      </c>
      <c r="L7" s="233"/>
      <c r="M7" s="664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2667</v>
      </c>
      <c r="F8" s="63" t="s">
        <v>1200</v>
      </c>
      <c r="G8" s="664"/>
      <c r="H8" s="233">
        <v>1500</v>
      </c>
      <c r="I8" s="233"/>
      <c r="J8" s="664"/>
      <c r="K8" s="233">
        <v>1642</v>
      </c>
      <c r="L8" s="233"/>
      <c r="M8" s="664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2668</v>
      </c>
      <c r="F9" s="63" t="s">
        <v>329</v>
      </c>
      <c r="G9" s="664"/>
      <c r="H9" s="233">
        <v>1500</v>
      </c>
      <c r="I9" s="233"/>
      <c r="J9" s="664"/>
      <c r="K9" s="233">
        <v>2031</v>
      </c>
      <c r="L9" s="233"/>
      <c r="M9" s="664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2669</v>
      </c>
      <c r="F10" s="63" t="s">
        <v>1200</v>
      </c>
      <c r="G10" s="664"/>
      <c r="H10" s="233">
        <f>13700+2000</f>
        <v>15700</v>
      </c>
      <c r="I10" s="233"/>
      <c r="J10" s="664"/>
      <c r="K10" s="233">
        <v>57781</v>
      </c>
      <c r="L10" s="233"/>
      <c r="M10" s="664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2638</v>
      </c>
      <c r="F11" s="63" t="s">
        <v>2646</v>
      </c>
      <c r="G11" s="664"/>
      <c r="H11" s="233" t="s">
        <v>2640</v>
      </c>
      <c r="I11" s="233"/>
      <c r="J11" s="664"/>
      <c r="K11" s="233">
        <v>-46000</v>
      </c>
      <c r="L11" s="233"/>
      <c r="M11" s="664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64"/>
      <c r="H12" s="233">
        <v>0</v>
      </c>
      <c r="I12" s="233"/>
      <c r="J12" s="664"/>
      <c r="K12" s="666">
        <f>N12</f>
        <v>20000</v>
      </c>
      <c r="L12" s="233"/>
      <c r="M12" s="664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64"/>
      <c r="H13" s="233">
        <v>2500</v>
      </c>
      <c r="I13" s="233"/>
      <c r="J13" s="664"/>
      <c r="K13" s="668">
        <f>N13</f>
        <v>2500</v>
      </c>
      <c r="L13" s="233"/>
      <c r="M13" s="664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64"/>
      <c r="H14" s="233">
        <v>5000</v>
      </c>
      <c r="I14" s="233"/>
      <c r="J14" s="664"/>
      <c r="K14" s="668">
        <f>N14</f>
        <v>5000</v>
      </c>
      <c r="L14" s="233"/>
      <c r="M14" s="664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64"/>
      <c r="H15" s="233">
        <v>14000</v>
      </c>
      <c r="I15" s="233"/>
      <c r="J15" s="664"/>
      <c r="K15" s="233">
        <v>1300</v>
      </c>
      <c r="L15" s="233"/>
      <c r="M15" s="664"/>
      <c r="N15" s="233">
        <v>900</v>
      </c>
    </row>
    <row r="16" spans="2:14" s="658" customFormat="1" x14ac:dyDescent="0.2">
      <c r="B16" s="63" t="s">
        <v>324</v>
      </c>
      <c r="C16" s="71" t="s">
        <v>317</v>
      </c>
      <c r="D16" s="71" t="s">
        <v>331</v>
      </c>
      <c r="E16" s="63" t="s">
        <v>2624</v>
      </c>
      <c r="F16" s="71" t="s">
        <v>1200</v>
      </c>
      <c r="G16" s="664"/>
      <c r="H16" s="233">
        <v>5000</v>
      </c>
      <c r="I16" s="233"/>
      <c r="J16" s="664"/>
      <c r="K16" s="668">
        <f>N16</f>
        <v>5000</v>
      </c>
      <c r="L16" s="233"/>
      <c r="M16" s="664"/>
      <c r="N16" s="233">
        <v>5000</v>
      </c>
    </row>
    <row r="17" spans="2:14" ht="13.15" customHeight="1" x14ac:dyDescent="0.2">
      <c r="B17" s="63"/>
      <c r="C17" s="758" t="s">
        <v>2679</v>
      </c>
      <c r="D17" s="71" t="s">
        <v>1197</v>
      </c>
      <c r="E17" s="63" t="s">
        <v>2654</v>
      </c>
      <c r="F17" s="63" t="s">
        <v>1200</v>
      </c>
      <c r="G17" s="664"/>
      <c r="H17" s="233">
        <f>N17</f>
        <v>90000</v>
      </c>
      <c r="I17" s="233"/>
      <c r="J17" s="664"/>
      <c r="K17" s="668">
        <f>N17</f>
        <v>90000</v>
      </c>
      <c r="L17" s="233"/>
      <c r="M17" s="664"/>
      <c r="N17" s="233">
        <v>90000</v>
      </c>
    </row>
    <row r="18" spans="2:14" x14ac:dyDescent="0.2">
      <c r="B18" s="63"/>
      <c r="C18" s="759"/>
      <c r="D18" s="63" t="s">
        <v>331</v>
      </c>
      <c r="E18" s="63" t="s">
        <v>2656</v>
      </c>
      <c r="F18" s="63" t="s">
        <v>1200</v>
      </c>
      <c r="G18" s="664"/>
      <c r="H18" s="233">
        <f>N18+169000</f>
        <v>439000</v>
      </c>
      <c r="I18" s="233"/>
      <c r="J18" s="664"/>
      <c r="K18" s="233">
        <f>N18+169000*40%</f>
        <v>337600</v>
      </c>
      <c r="L18" s="233"/>
      <c r="M18" s="664"/>
      <c r="N18" s="233">
        <v>270000</v>
      </c>
    </row>
    <row r="19" spans="2:14" x14ac:dyDescent="0.2">
      <c r="B19" s="63" t="s">
        <v>317</v>
      </c>
      <c r="C19" s="759"/>
      <c r="D19" s="63" t="s">
        <v>331</v>
      </c>
      <c r="E19" s="63" t="s">
        <v>2655</v>
      </c>
      <c r="F19" s="63" t="s">
        <v>329</v>
      </c>
      <c r="G19" s="664">
        <f>750000-485500</f>
        <v>264500</v>
      </c>
      <c r="H19" s="233"/>
      <c r="I19" s="233"/>
      <c r="J19" s="669">
        <f>M19</f>
        <v>600000</v>
      </c>
      <c r="K19" s="233"/>
      <c r="L19" s="233"/>
      <c r="M19" s="665">
        <v>600000</v>
      </c>
      <c r="N19" s="233"/>
    </row>
    <row r="20" spans="2:14" x14ac:dyDescent="0.2">
      <c r="B20" s="63" t="s">
        <v>317</v>
      </c>
      <c r="C20" s="759"/>
      <c r="D20" s="63" t="s">
        <v>331</v>
      </c>
      <c r="E20" s="63" t="s">
        <v>2653</v>
      </c>
      <c r="F20" s="63" t="s">
        <v>1200</v>
      </c>
      <c r="G20" s="664">
        <f>200000</f>
        <v>200000</v>
      </c>
      <c r="H20" s="233"/>
      <c r="I20" s="233"/>
      <c r="J20" s="669">
        <f>M20</f>
        <v>200000</v>
      </c>
      <c r="K20" s="233"/>
      <c r="L20" s="233"/>
      <c r="M20" s="665">
        <v>200000</v>
      </c>
      <c r="N20" s="233"/>
    </row>
    <row r="21" spans="2:14" x14ac:dyDescent="0.2">
      <c r="B21" s="63" t="s">
        <v>317</v>
      </c>
      <c r="C21" s="759"/>
      <c r="D21" s="71" t="s">
        <v>1054</v>
      </c>
      <c r="E21" s="63" t="s">
        <v>1202</v>
      </c>
      <c r="F21" s="63" t="s">
        <v>1201</v>
      </c>
      <c r="G21" s="665">
        <f>38000+15000+18000</f>
        <v>71000</v>
      </c>
      <c r="H21" s="233"/>
      <c r="I21" s="233"/>
      <c r="J21" s="665">
        <f>37303+14272+15932</f>
        <v>67507</v>
      </c>
      <c r="K21" s="233"/>
      <c r="L21" s="233"/>
      <c r="M21" s="665">
        <f>(35+13+14)*1000</f>
        <v>62000</v>
      </c>
      <c r="N21" s="233"/>
    </row>
    <row r="22" spans="2:14" x14ac:dyDescent="0.2">
      <c r="B22" s="63" t="s">
        <v>317</v>
      </c>
      <c r="C22" s="759"/>
      <c r="D22" s="71" t="s">
        <v>2649</v>
      </c>
      <c r="E22" s="63" t="s">
        <v>1052</v>
      </c>
      <c r="F22" s="63" t="s">
        <v>1200</v>
      </c>
      <c r="G22" s="664">
        <f>202000+64000</f>
        <v>266000</v>
      </c>
      <c r="H22" s="233"/>
      <c r="I22" s="233"/>
      <c r="J22" s="664">
        <f>57247+54415</f>
        <v>111662</v>
      </c>
      <c r="K22" s="233"/>
      <c r="L22" s="233"/>
      <c r="M22" s="664">
        <f>51797+50452</f>
        <v>102249</v>
      </c>
      <c r="N22" s="233"/>
    </row>
    <row r="23" spans="2:14" x14ac:dyDescent="0.2">
      <c r="B23" s="63" t="s">
        <v>317</v>
      </c>
      <c r="C23" s="760"/>
      <c r="D23" s="71" t="s">
        <v>2649</v>
      </c>
      <c r="E23" s="63" t="s">
        <v>2627</v>
      </c>
      <c r="F23" s="63" t="s">
        <v>1200</v>
      </c>
      <c r="G23" s="665">
        <f>29000+(113000+20000)</f>
        <v>162000</v>
      </c>
      <c r="H23" s="233"/>
      <c r="I23" s="233"/>
      <c r="J23" s="665">
        <v>24201</v>
      </c>
      <c r="K23" s="233"/>
      <c r="L23" s="233"/>
      <c r="M23" s="665">
        <v>17000</v>
      </c>
      <c r="N23" s="233"/>
    </row>
    <row r="24" spans="2:14" x14ac:dyDescent="0.2">
      <c r="B24" s="63" t="s">
        <v>2625</v>
      </c>
      <c r="C24" s="71" t="s">
        <v>316</v>
      </c>
      <c r="D24" s="71" t="s">
        <v>331</v>
      </c>
      <c r="E24" s="63" t="s">
        <v>2657</v>
      </c>
      <c r="F24" s="63" t="s">
        <v>1200</v>
      </c>
      <c r="G24" s="665" t="s">
        <v>2626</v>
      </c>
      <c r="H24" s="233"/>
      <c r="I24" s="233"/>
      <c r="J24" s="669">
        <f>M24</f>
        <v>20000</v>
      </c>
      <c r="K24" s="233"/>
      <c r="L24" s="233"/>
      <c r="M24" s="665">
        <v>20000</v>
      </c>
      <c r="N24" s="233"/>
    </row>
    <row r="25" spans="2:14" s="662" customFormat="1" x14ac:dyDescent="0.2">
      <c r="B25" s="63" t="s">
        <v>2625</v>
      </c>
      <c r="C25" s="71" t="s">
        <v>316</v>
      </c>
      <c r="D25" s="71" t="s">
        <v>331</v>
      </c>
      <c r="E25" s="63" t="s">
        <v>2674</v>
      </c>
      <c r="F25" s="63" t="s">
        <v>329</v>
      </c>
      <c r="G25" s="665">
        <f>15000*3</f>
        <v>45000</v>
      </c>
      <c r="H25" s="233"/>
      <c r="I25" s="233"/>
      <c r="J25" s="667">
        <v>0</v>
      </c>
      <c r="K25" s="233"/>
      <c r="L25" s="233"/>
      <c r="M25" s="665">
        <v>0</v>
      </c>
      <c r="N25" s="233"/>
    </row>
    <row r="26" spans="2:14" s="658" customFormat="1" x14ac:dyDescent="0.2">
      <c r="B26" s="63" t="s">
        <v>317</v>
      </c>
      <c r="C26" s="71" t="s">
        <v>317</v>
      </c>
      <c r="D26" s="71" t="s">
        <v>1060</v>
      </c>
      <c r="E26" s="63" t="s">
        <v>2650</v>
      </c>
      <c r="F26" s="63" t="s">
        <v>1200</v>
      </c>
      <c r="G26" s="665">
        <f>176000+24500</f>
        <v>200500</v>
      </c>
      <c r="H26" s="233"/>
      <c r="I26" s="233"/>
      <c r="J26" s="665">
        <v>0</v>
      </c>
      <c r="K26" s="233"/>
      <c r="L26" s="233"/>
      <c r="M26" s="665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2648</v>
      </c>
      <c r="F27" s="63" t="s">
        <v>1201</v>
      </c>
      <c r="G27" s="665">
        <v>1000</v>
      </c>
      <c r="H27" s="233" t="s">
        <v>2630</v>
      </c>
      <c r="I27" s="233"/>
      <c r="J27" s="665">
        <v>92574</v>
      </c>
      <c r="K27" s="233"/>
      <c r="L27" s="233"/>
      <c r="M27" s="665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2642</v>
      </c>
      <c r="F28" s="63" t="s">
        <v>1200</v>
      </c>
      <c r="G28" s="665">
        <v>40000</v>
      </c>
      <c r="H28" s="233"/>
      <c r="I28" s="233"/>
      <c r="J28" s="665">
        <v>27907</v>
      </c>
      <c r="K28" s="233"/>
      <c r="L28" s="233"/>
      <c r="M28" s="665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2651</v>
      </c>
      <c r="F29" s="63" t="s">
        <v>1200</v>
      </c>
      <c r="G29" s="665">
        <v>2000</v>
      </c>
      <c r="H29" s="233"/>
      <c r="I29" s="233"/>
      <c r="J29" s="665">
        <v>28176</v>
      </c>
      <c r="K29" s="233"/>
      <c r="L29" s="233"/>
      <c r="M29" s="665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2644</v>
      </c>
      <c r="E30" s="755" t="s">
        <v>2643</v>
      </c>
      <c r="F30" s="63" t="s">
        <v>2628</v>
      </c>
      <c r="G30" s="665">
        <v>578000</v>
      </c>
      <c r="H30" s="233"/>
      <c r="I30" s="233"/>
      <c r="J30" s="665">
        <f>27564</f>
        <v>27564</v>
      </c>
      <c r="K30" s="233"/>
      <c r="L30" s="233"/>
      <c r="M30" s="665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5"/>
      <c r="F31" s="63" t="s">
        <v>1201</v>
      </c>
      <c r="G31" s="665">
        <v>7000</v>
      </c>
      <c r="H31" s="233"/>
      <c r="I31" s="233"/>
      <c r="J31" s="665">
        <v>20000</v>
      </c>
      <c r="K31" s="233"/>
      <c r="L31" s="233"/>
      <c r="M31" s="665">
        <v>0</v>
      </c>
      <c r="N31" s="233"/>
    </row>
    <row r="32" spans="2:14" x14ac:dyDescent="0.2">
      <c r="B32" s="63" t="s">
        <v>317</v>
      </c>
      <c r="C32" s="71"/>
      <c r="D32" s="71"/>
      <c r="E32" s="63" t="s">
        <v>2638</v>
      </c>
      <c r="F32" s="71" t="s">
        <v>2646</v>
      </c>
      <c r="G32" s="665" t="s">
        <v>2639</v>
      </c>
      <c r="H32" s="233"/>
      <c r="I32" s="233"/>
      <c r="J32" s="665">
        <v>-30000</v>
      </c>
      <c r="K32" s="233"/>
      <c r="L32" s="233"/>
      <c r="M32" s="665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2645</v>
      </c>
      <c r="F33" s="63" t="s">
        <v>1201</v>
      </c>
      <c r="G33" s="665" t="s">
        <v>332</v>
      </c>
      <c r="H33" s="233"/>
      <c r="I33" s="233"/>
      <c r="J33" s="665" t="s">
        <v>332</v>
      </c>
      <c r="K33" s="233"/>
      <c r="L33" s="233"/>
      <c r="M33" s="665" t="s">
        <v>332</v>
      </c>
      <c r="N33" s="233"/>
    </row>
    <row r="34" spans="2:14" x14ac:dyDescent="0.2">
      <c r="B34" s="63" t="s">
        <v>324</v>
      </c>
      <c r="C34" s="63" t="s">
        <v>2658</v>
      </c>
      <c r="D34" s="63" t="s">
        <v>1199</v>
      </c>
      <c r="E34" s="63" t="s">
        <v>1198</v>
      </c>
      <c r="F34" s="63" t="s">
        <v>1201</v>
      </c>
      <c r="G34" s="664">
        <v>5000</v>
      </c>
      <c r="H34" s="233"/>
      <c r="I34" s="233"/>
      <c r="J34" s="664">
        <v>5000</v>
      </c>
      <c r="K34" s="233"/>
      <c r="L34" s="233"/>
      <c r="M34" s="664">
        <v>5000</v>
      </c>
      <c r="N34" s="233"/>
    </row>
    <row r="35" spans="2:14" x14ac:dyDescent="0.2">
      <c r="E35" s="212"/>
      <c r="F35" s="212" t="s">
        <v>2635</v>
      </c>
      <c r="G35" s="114">
        <f>SUM(G4:G34)</f>
        <v>1842000</v>
      </c>
      <c r="H35" s="661">
        <f>SUM(H4:H34)</f>
        <v>621000</v>
      </c>
      <c r="J35" s="114">
        <f>SUM(J4:J34)</f>
        <v>1194591</v>
      </c>
      <c r="K35" s="661">
        <f>SUM(K4:K34)</f>
        <v>498618</v>
      </c>
      <c r="M35" s="114">
        <f>SUM(M4:M34)</f>
        <v>1114249</v>
      </c>
      <c r="N35" s="661">
        <f>SUM(N4:N34)</f>
        <v>493000</v>
      </c>
    </row>
    <row r="36" spans="2:14" s="658" customFormat="1" x14ac:dyDescent="0.2">
      <c r="E36" s="212"/>
      <c r="F36" s="212" t="s">
        <v>2636</v>
      </c>
      <c r="G36" s="114">
        <v>1842000</v>
      </c>
      <c r="H36" s="661">
        <v>621000</v>
      </c>
      <c r="I36" s="2"/>
      <c r="J36" s="114">
        <v>1194591</v>
      </c>
      <c r="K36" s="661">
        <v>498618</v>
      </c>
      <c r="L36" s="2"/>
      <c r="M36" s="114">
        <v>1114249</v>
      </c>
      <c r="N36" s="661">
        <v>493000</v>
      </c>
    </row>
    <row r="37" spans="2:14" s="659" customFormat="1" x14ac:dyDescent="0.2">
      <c r="E37" s="663" t="s">
        <v>2670</v>
      </c>
      <c r="F37" s="207">
        <v>1.33</v>
      </c>
      <c r="G37" s="114"/>
      <c r="H37" s="114" t="s">
        <v>2629</v>
      </c>
      <c r="I37" s="2"/>
      <c r="J37" s="114"/>
      <c r="K37" s="661"/>
      <c r="L37" s="2"/>
    </row>
    <row r="38" spans="2:14" s="659" customFormat="1" x14ac:dyDescent="0.2">
      <c r="E38" s="212"/>
      <c r="F38" s="212" t="s">
        <v>2641</v>
      </c>
      <c r="G38" s="757">
        <f>G35/F37+H35</f>
        <v>2005962.4060150376</v>
      </c>
      <c r="H38" s="757"/>
      <c r="I38" s="2"/>
      <c r="J38" s="114"/>
      <c r="K38" s="2"/>
      <c r="L38" s="2"/>
      <c r="M38" s="114"/>
      <c r="N38" s="2"/>
    </row>
    <row r="39" spans="2:14" s="659" customFormat="1" x14ac:dyDescent="0.2">
      <c r="E39" s="212"/>
      <c r="F39" s="212" t="s">
        <v>2637</v>
      </c>
      <c r="G39" s="756">
        <f>H35*F37+G35</f>
        <v>2667930</v>
      </c>
      <c r="H39" s="756"/>
      <c r="I39" s="2"/>
      <c r="J39" s="756">
        <f>K35*1.37+J35</f>
        <v>1877697.6600000001</v>
      </c>
      <c r="K39" s="756"/>
      <c r="L39" s="2"/>
      <c r="M39" s="756">
        <f>N35*1.37+M35</f>
        <v>1789659</v>
      </c>
      <c r="N39" s="756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05" t="s">
        <v>1203</v>
      </c>
      <c r="C42" s="705"/>
      <c r="D42" s="705"/>
      <c r="E42" s="705"/>
      <c r="F42" s="705"/>
      <c r="G42" s="705"/>
      <c r="H42" s="705"/>
      <c r="I42" s="705"/>
      <c r="J42" s="705"/>
      <c r="K42" s="705"/>
      <c r="L42" s="705"/>
      <c r="M42" s="705"/>
      <c r="N42" s="705"/>
    </row>
    <row r="43" spans="2:14" x14ac:dyDescent="0.2">
      <c r="B43" s="705" t="s">
        <v>2634</v>
      </c>
      <c r="C43" s="705"/>
      <c r="D43" s="705"/>
      <c r="E43" s="705"/>
      <c r="F43" s="705"/>
      <c r="G43" s="705"/>
      <c r="H43" s="705"/>
      <c r="I43" s="705"/>
      <c r="J43" s="705"/>
      <c r="K43" s="705"/>
      <c r="L43" s="705"/>
      <c r="M43" s="705"/>
      <c r="N43" s="705"/>
    </row>
    <row r="44" spans="2:14" x14ac:dyDescent="0.2">
      <c r="B44" s="705" t="s">
        <v>2633</v>
      </c>
      <c r="C44" s="705"/>
      <c r="D44" s="705"/>
      <c r="E44" s="705"/>
      <c r="F44" s="705"/>
      <c r="G44" s="705"/>
      <c r="H44" s="705"/>
      <c r="I44" s="705"/>
      <c r="J44" s="705"/>
      <c r="K44" s="705"/>
      <c r="L44" s="705"/>
      <c r="M44" s="705"/>
      <c r="N44" s="705"/>
    </row>
    <row r="45" spans="2:14" x14ac:dyDescent="0.2">
      <c r="B45" s="752" t="s">
        <v>2632</v>
      </c>
      <c r="C45" s="752"/>
      <c r="D45" s="752"/>
      <c r="E45" s="752"/>
      <c r="F45" s="752"/>
      <c r="G45" s="752"/>
      <c r="H45" s="752"/>
      <c r="I45" s="752"/>
      <c r="J45" s="752"/>
      <c r="K45" s="752"/>
      <c r="L45" s="752"/>
      <c r="M45" s="752"/>
      <c r="N45" s="752"/>
    </row>
    <row r="46" spans="2:14" x14ac:dyDescent="0.2">
      <c r="B46" s="752"/>
      <c r="C46" s="752"/>
      <c r="D46" s="752"/>
      <c r="E46" s="752"/>
      <c r="F46" s="752"/>
      <c r="G46" s="752"/>
      <c r="H46" s="752"/>
      <c r="I46" s="752"/>
      <c r="J46" s="752"/>
      <c r="K46" s="752"/>
      <c r="L46" s="752"/>
      <c r="M46" s="752"/>
      <c r="N46" s="752"/>
    </row>
    <row r="47" spans="2:14" x14ac:dyDescent="0.2">
      <c r="B47" s="752"/>
      <c r="C47" s="752"/>
      <c r="D47" s="752"/>
      <c r="E47" s="752"/>
      <c r="F47" s="752"/>
      <c r="G47" s="752"/>
      <c r="H47" s="752"/>
      <c r="I47" s="752"/>
      <c r="J47" s="752"/>
      <c r="K47" s="752"/>
      <c r="L47" s="752"/>
      <c r="M47" s="752"/>
      <c r="N47" s="752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3" t="s">
        <v>2097</v>
      </c>
      <c r="C2" s="763"/>
      <c r="D2" s="764" t="s">
        <v>1892</v>
      </c>
      <c r="E2" s="764"/>
      <c r="F2" s="515"/>
      <c r="G2" s="515"/>
      <c r="H2" s="388"/>
      <c r="I2" s="767" t="s">
        <v>2288</v>
      </c>
      <c r="J2" s="768"/>
      <c r="K2" s="768"/>
      <c r="L2" s="768"/>
      <c r="M2" s="768"/>
      <c r="N2" s="768"/>
      <c r="O2" s="769"/>
      <c r="P2" s="469"/>
      <c r="Q2" s="770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5" t="s">
        <v>2319</v>
      </c>
      <c r="G3" s="776"/>
      <c r="H3" s="388"/>
      <c r="I3" s="452"/>
      <c r="J3" s="516"/>
      <c r="K3" s="772" t="s">
        <v>2462</v>
      </c>
      <c r="L3" s="773"/>
      <c r="M3" s="774"/>
      <c r="N3" s="521"/>
      <c r="O3" s="449"/>
      <c r="P3" s="513"/>
      <c r="Q3" s="771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5" t="s">
        <v>2512</v>
      </c>
      <c r="F4" s="566" t="s">
        <v>2452</v>
      </c>
      <c r="G4" s="567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5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5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6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6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50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1" t="s">
        <v>1559</v>
      </c>
      <c r="E27" s="762"/>
      <c r="F27" s="564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3" t="s">
        <v>124</v>
      </c>
      <c r="C1" s="693"/>
      <c r="D1" s="696" t="s">
        <v>292</v>
      </c>
      <c r="E1" s="696"/>
      <c r="F1" s="696" t="s">
        <v>345</v>
      </c>
      <c r="G1" s="696"/>
      <c r="H1" s="694" t="s">
        <v>127</v>
      </c>
      <c r="I1" s="694"/>
      <c r="J1" s="690" t="s">
        <v>292</v>
      </c>
      <c r="K1" s="690"/>
      <c r="L1" s="695" t="s">
        <v>528</v>
      </c>
      <c r="M1" s="695"/>
      <c r="N1" s="694" t="s">
        <v>146</v>
      </c>
      <c r="O1" s="694"/>
      <c r="P1" s="690" t="s">
        <v>293</v>
      </c>
      <c r="Q1" s="690"/>
      <c r="R1" s="695" t="s">
        <v>530</v>
      </c>
      <c r="S1" s="695"/>
      <c r="T1" s="684" t="s">
        <v>193</v>
      </c>
      <c r="U1" s="684"/>
      <c r="V1" s="690" t="s">
        <v>292</v>
      </c>
      <c r="W1" s="690"/>
      <c r="X1" s="689" t="s">
        <v>532</v>
      </c>
      <c r="Y1" s="689"/>
      <c r="Z1" s="684" t="s">
        <v>241</v>
      </c>
      <c r="AA1" s="684"/>
      <c r="AB1" s="691" t="s">
        <v>292</v>
      </c>
      <c r="AC1" s="691"/>
      <c r="AD1" s="692" t="s">
        <v>532</v>
      </c>
      <c r="AE1" s="692"/>
      <c r="AF1" s="684" t="s">
        <v>373</v>
      </c>
      <c r="AG1" s="684"/>
      <c r="AH1" s="691" t="s">
        <v>292</v>
      </c>
      <c r="AI1" s="691"/>
      <c r="AJ1" s="689" t="s">
        <v>538</v>
      </c>
      <c r="AK1" s="689"/>
      <c r="AL1" s="684" t="s">
        <v>395</v>
      </c>
      <c r="AM1" s="684"/>
      <c r="AN1" s="701" t="s">
        <v>292</v>
      </c>
      <c r="AO1" s="701"/>
      <c r="AP1" s="699" t="s">
        <v>539</v>
      </c>
      <c r="AQ1" s="699"/>
      <c r="AR1" s="684" t="s">
        <v>422</v>
      </c>
      <c r="AS1" s="684"/>
      <c r="AV1" s="699" t="s">
        <v>285</v>
      </c>
      <c r="AW1" s="699"/>
      <c r="AX1" s="702" t="s">
        <v>1010</v>
      </c>
      <c r="AY1" s="702"/>
      <c r="AZ1" s="702"/>
      <c r="BA1" s="213"/>
      <c r="BB1" s="697">
        <v>42942</v>
      </c>
      <c r="BC1" s="698"/>
      <c r="BD1" s="69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3" t="s">
        <v>261</v>
      </c>
      <c r="U4" s="683"/>
      <c r="X4" s="122" t="s">
        <v>233</v>
      </c>
      <c r="Y4" s="126">
        <f>Y3-Y6</f>
        <v>4.9669099999591708</v>
      </c>
      <c r="Z4" s="683" t="s">
        <v>262</v>
      </c>
      <c r="AA4" s="683"/>
      <c r="AD4" s="157" t="s">
        <v>233</v>
      </c>
      <c r="AE4" s="157">
        <f>AE3-AE5</f>
        <v>-52.526899999851594</v>
      </c>
      <c r="AF4" s="683" t="s">
        <v>262</v>
      </c>
      <c r="AG4" s="683"/>
      <c r="AH4" s="146"/>
      <c r="AI4" s="146"/>
      <c r="AJ4" s="157" t="s">
        <v>233</v>
      </c>
      <c r="AK4" s="157">
        <f>AK3-AK5</f>
        <v>94.988909999992757</v>
      </c>
      <c r="AL4" s="683" t="s">
        <v>262</v>
      </c>
      <c r="AM4" s="683"/>
      <c r="AP4" s="173" t="s">
        <v>233</v>
      </c>
      <c r="AQ4" s="177">
        <f>AQ3-AQ5</f>
        <v>33.841989999942598</v>
      </c>
      <c r="AR4" s="683" t="s">
        <v>262</v>
      </c>
      <c r="AS4" s="683"/>
      <c r="AX4" s="683" t="s">
        <v>572</v>
      </c>
      <c r="AY4" s="683"/>
      <c r="BB4" s="683" t="s">
        <v>575</v>
      </c>
      <c r="BC4" s="68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3"/>
      <c r="U5" s="683"/>
      <c r="V5" s="3" t="s">
        <v>258</v>
      </c>
      <c r="W5">
        <v>2050</v>
      </c>
      <c r="X5" s="82"/>
      <c r="Z5" s="683"/>
      <c r="AA5" s="68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3"/>
      <c r="AG5" s="683"/>
      <c r="AH5" s="146"/>
      <c r="AI5" s="146"/>
      <c r="AJ5" s="157" t="s">
        <v>358</v>
      </c>
      <c r="AK5" s="165">
        <f>SUM(AK11:AK59)</f>
        <v>30858.011000000002</v>
      </c>
      <c r="AL5" s="683"/>
      <c r="AM5" s="68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3"/>
      <c r="AS5" s="683"/>
      <c r="AX5" s="683"/>
      <c r="AY5" s="683"/>
      <c r="BB5" s="683"/>
      <c r="BC5" s="683"/>
      <c r="BD5" s="700" t="s">
        <v>1011</v>
      </c>
      <c r="BE5" s="700"/>
      <c r="BF5" s="700"/>
      <c r="BG5" s="700"/>
      <c r="BH5" s="700"/>
      <c r="BI5" s="700"/>
      <c r="BJ5" s="700"/>
      <c r="BK5" s="70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5" t="s">
        <v>264</v>
      </c>
      <c r="W23" s="68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7"/>
      <c r="W24" s="68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3" t="s">
        <v>1001</v>
      </c>
      <c r="C24" s="703"/>
      <c r="D24" s="703"/>
      <c r="E24" s="703"/>
      <c r="F24" s="703"/>
      <c r="G24" s="703"/>
      <c r="H24" s="703"/>
      <c r="I24" s="70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3" t="s">
        <v>917</v>
      </c>
      <c r="C1" s="693"/>
      <c r="D1" s="692" t="s">
        <v>523</v>
      </c>
      <c r="E1" s="692"/>
      <c r="F1" s="693" t="s">
        <v>521</v>
      </c>
      <c r="G1" s="693"/>
      <c r="H1" s="708" t="s">
        <v>557</v>
      </c>
      <c r="I1" s="708"/>
      <c r="J1" s="692" t="s">
        <v>523</v>
      </c>
      <c r="K1" s="692"/>
      <c r="L1" s="693" t="s">
        <v>916</v>
      </c>
      <c r="M1" s="693"/>
      <c r="N1" s="708" t="s">
        <v>557</v>
      </c>
      <c r="O1" s="708"/>
      <c r="P1" s="692" t="s">
        <v>523</v>
      </c>
      <c r="Q1" s="692"/>
      <c r="R1" s="693" t="s">
        <v>560</v>
      </c>
      <c r="S1" s="693"/>
      <c r="T1" s="708" t="s">
        <v>557</v>
      </c>
      <c r="U1" s="708"/>
      <c r="V1" s="692" t="s">
        <v>523</v>
      </c>
      <c r="W1" s="692"/>
      <c r="X1" s="693" t="s">
        <v>915</v>
      </c>
      <c r="Y1" s="693"/>
      <c r="Z1" s="708" t="s">
        <v>557</v>
      </c>
      <c r="AA1" s="708"/>
      <c r="AB1" s="692" t="s">
        <v>523</v>
      </c>
      <c r="AC1" s="692"/>
      <c r="AD1" s="693" t="s">
        <v>599</v>
      </c>
      <c r="AE1" s="693"/>
      <c r="AF1" s="708" t="s">
        <v>557</v>
      </c>
      <c r="AG1" s="708"/>
      <c r="AH1" s="692" t="s">
        <v>523</v>
      </c>
      <c r="AI1" s="692"/>
      <c r="AJ1" s="693" t="s">
        <v>914</v>
      </c>
      <c r="AK1" s="693"/>
      <c r="AL1" s="708" t="s">
        <v>634</v>
      </c>
      <c r="AM1" s="708"/>
      <c r="AN1" s="692" t="s">
        <v>635</v>
      </c>
      <c r="AO1" s="692"/>
      <c r="AP1" s="693" t="s">
        <v>629</v>
      </c>
      <c r="AQ1" s="693"/>
      <c r="AR1" s="708" t="s">
        <v>557</v>
      </c>
      <c r="AS1" s="708"/>
      <c r="AT1" s="692" t="s">
        <v>523</v>
      </c>
      <c r="AU1" s="692"/>
      <c r="AV1" s="693" t="s">
        <v>913</v>
      </c>
      <c r="AW1" s="693"/>
      <c r="AX1" s="708" t="s">
        <v>557</v>
      </c>
      <c r="AY1" s="708"/>
      <c r="AZ1" s="692" t="s">
        <v>523</v>
      </c>
      <c r="BA1" s="692"/>
      <c r="BB1" s="693" t="s">
        <v>661</v>
      </c>
      <c r="BC1" s="693"/>
      <c r="BD1" s="708" t="s">
        <v>557</v>
      </c>
      <c r="BE1" s="708"/>
      <c r="BF1" s="692" t="s">
        <v>523</v>
      </c>
      <c r="BG1" s="692"/>
      <c r="BH1" s="693" t="s">
        <v>912</v>
      </c>
      <c r="BI1" s="693"/>
      <c r="BJ1" s="708" t="s">
        <v>557</v>
      </c>
      <c r="BK1" s="708"/>
      <c r="BL1" s="692" t="s">
        <v>523</v>
      </c>
      <c r="BM1" s="692"/>
      <c r="BN1" s="693" t="s">
        <v>931</v>
      </c>
      <c r="BO1" s="693"/>
      <c r="BP1" s="708" t="s">
        <v>557</v>
      </c>
      <c r="BQ1" s="708"/>
      <c r="BR1" s="692" t="s">
        <v>523</v>
      </c>
      <c r="BS1" s="692"/>
      <c r="BT1" s="693" t="s">
        <v>911</v>
      </c>
      <c r="BU1" s="693"/>
      <c r="BV1" s="708" t="s">
        <v>712</v>
      </c>
      <c r="BW1" s="708"/>
      <c r="BX1" s="692" t="s">
        <v>713</v>
      </c>
      <c r="BY1" s="692"/>
      <c r="BZ1" s="693" t="s">
        <v>711</v>
      </c>
      <c r="CA1" s="693"/>
      <c r="CB1" s="708" t="s">
        <v>738</v>
      </c>
      <c r="CC1" s="708"/>
      <c r="CD1" s="692" t="s">
        <v>739</v>
      </c>
      <c r="CE1" s="692"/>
      <c r="CF1" s="693" t="s">
        <v>910</v>
      </c>
      <c r="CG1" s="693"/>
      <c r="CH1" s="708" t="s">
        <v>738</v>
      </c>
      <c r="CI1" s="708"/>
      <c r="CJ1" s="692" t="s">
        <v>739</v>
      </c>
      <c r="CK1" s="692"/>
      <c r="CL1" s="693" t="s">
        <v>756</v>
      </c>
      <c r="CM1" s="693"/>
      <c r="CN1" s="708" t="s">
        <v>738</v>
      </c>
      <c r="CO1" s="708"/>
      <c r="CP1" s="692" t="s">
        <v>739</v>
      </c>
      <c r="CQ1" s="692"/>
      <c r="CR1" s="693" t="s">
        <v>909</v>
      </c>
      <c r="CS1" s="693"/>
      <c r="CT1" s="708" t="s">
        <v>738</v>
      </c>
      <c r="CU1" s="708"/>
      <c r="CV1" s="706" t="s">
        <v>739</v>
      </c>
      <c r="CW1" s="706"/>
      <c r="CX1" s="693" t="s">
        <v>777</v>
      </c>
      <c r="CY1" s="693"/>
      <c r="CZ1" s="708" t="s">
        <v>738</v>
      </c>
      <c r="DA1" s="708"/>
      <c r="DB1" s="706" t="s">
        <v>739</v>
      </c>
      <c r="DC1" s="706"/>
      <c r="DD1" s="693" t="s">
        <v>908</v>
      </c>
      <c r="DE1" s="693"/>
      <c r="DF1" s="708" t="s">
        <v>824</v>
      </c>
      <c r="DG1" s="708"/>
      <c r="DH1" s="706" t="s">
        <v>825</v>
      </c>
      <c r="DI1" s="706"/>
      <c r="DJ1" s="693" t="s">
        <v>817</v>
      </c>
      <c r="DK1" s="693"/>
      <c r="DL1" s="708" t="s">
        <v>824</v>
      </c>
      <c r="DM1" s="708"/>
      <c r="DN1" s="706" t="s">
        <v>739</v>
      </c>
      <c r="DO1" s="706"/>
      <c r="DP1" s="693" t="s">
        <v>907</v>
      </c>
      <c r="DQ1" s="693"/>
      <c r="DR1" s="708" t="s">
        <v>824</v>
      </c>
      <c r="DS1" s="708"/>
      <c r="DT1" s="706" t="s">
        <v>739</v>
      </c>
      <c r="DU1" s="706"/>
      <c r="DV1" s="693" t="s">
        <v>906</v>
      </c>
      <c r="DW1" s="693"/>
      <c r="DX1" s="708" t="s">
        <v>824</v>
      </c>
      <c r="DY1" s="708"/>
      <c r="DZ1" s="706" t="s">
        <v>739</v>
      </c>
      <c r="EA1" s="706"/>
      <c r="EB1" s="693" t="s">
        <v>905</v>
      </c>
      <c r="EC1" s="693"/>
      <c r="ED1" s="708" t="s">
        <v>824</v>
      </c>
      <c r="EE1" s="708"/>
      <c r="EF1" s="706" t="s">
        <v>739</v>
      </c>
      <c r="EG1" s="706"/>
      <c r="EH1" s="693" t="s">
        <v>891</v>
      </c>
      <c r="EI1" s="693"/>
      <c r="EJ1" s="708" t="s">
        <v>824</v>
      </c>
      <c r="EK1" s="708"/>
      <c r="EL1" s="706" t="s">
        <v>946</v>
      </c>
      <c r="EM1" s="706"/>
      <c r="EN1" s="693" t="s">
        <v>932</v>
      </c>
      <c r="EO1" s="693"/>
      <c r="EP1" s="708" t="s">
        <v>824</v>
      </c>
      <c r="EQ1" s="708"/>
      <c r="ER1" s="706" t="s">
        <v>960</v>
      </c>
      <c r="ES1" s="706"/>
      <c r="ET1" s="693" t="s">
        <v>947</v>
      </c>
      <c r="EU1" s="693"/>
      <c r="EV1" s="708" t="s">
        <v>824</v>
      </c>
      <c r="EW1" s="708"/>
      <c r="EX1" s="706" t="s">
        <v>538</v>
      </c>
      <c r="EY1" s="706"/>
      <c r="EZ1" s="693" t="s">
        <v>964</v>
      </c>
      <c r="FA1" s="693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7" t="s">
        <v>787</v>
      </c>
      <c r="CU7" s="693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7" t="s">
        <v>786</v>
      </c>
      <c r="DA8" s="693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7" t="s">
        <v>786</v>
      </c>
      <c r="DG8" s="693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7" t="s">
        <v>786</v>
      </c>
      <c r="DM8" s="693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7" t="s">
        <v>786</v>
      </c>
      <c r="DS8" s="693"/>
      <c r="DT8" s="145" t="s">
        <v>791</v>
      </c>
      <c r="DU8" s="145">
        <f>SUM(DU13:DU17)</f>
        <v>32</v>
      </c>
      <c r="DV8" s="63"/>
      <c r="DW8" s="63"/>
      <c r="DX8" s="707" t="s">
        <v>786</v>
      </c>
      <c r="DY8" s="693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7" t="s">
        <v>938</v>
      </c>
      <c r="EK8" s="693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7" t="s">
        <v>938</v>
      </c>
      <c r="EQ9" s="693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7" t="s">
        <v>938</v>
      </c>
      <c r="EW9" s="693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7" t="s">
        <v>938</v>
      </c>
      <c r="EE11" s="693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7" t="s">
        <v>786</v>
      </c>
      <c r="CU12" s="693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4" t="s">
        <v>790</v>
      </c>
      <c r="CU19" s="684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5" t="s">
        <v>866</v>
      </c>
      <c r="FA21" s="705"/>
      <c r="FC21" s="244">
        <f>FC20-FC22</f>
        <v>113457.16899999997</v>
      </c>
      <c r="FD21" s="236"/>
      <c r="FE21" s="704" t="s">
        <v>1563</v>
      </c>
      <c r="FF21" s="704"/>
      <c r="FG21" s="704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5" t="s">
        <v>879</v>
      </c>
      <c r="FA22" s="705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5" t="s">
        <v>1012</v>
      </c>
      <c r="FA23" s="705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5" t="s">
        <v>1092</v>
      </c>
      <c r="FA24" s="705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9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10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9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10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HG1" zoomScaleNormal="100" workbookViewId="0">
      <selection activeCell="IG36" sqref="IG3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32" customWidth="1"/>
    <col min="255" max="255" width="9.140625" style="632" bestFit="1" customWidth="1"/>
    <col min="256" max="256" width="15.85546875" style="632" customWidth="1"/>
    <col min="257" max="257" width="11.85546875" style="632" bestFit="1" customWidth="1"/>
    <col min="258" max="258" width="18.28515625" style="632" customWidth="1"/>
    <col min="259" max="259" width="10.28515625" style="632" customWidth="1"/>
    <col min="260" max="260" width="7.140625" style="632" customWidth="1"/>
    <col min="261" max="261" width="9.140625" style="61" customWidth="1"/>
  </cols>
  <sheetData>
    <row r="1" spans="1:261" s="145" customFormat="1" x14ac:dyDescent="0.2">
      <c r="A1" s="721" t="s">
        <v>1226</v>
      </c>
      <c r="B1" s="721"/>
      <c r="C1" s="701" t="s">
        <v>292</v>
      </c>
      <c r="D1" s="701"/>
      <c r="E1" s="699" t="s">
        <v>1022</v>
      </c>
      <c r="F1" s="699"/>
      <c r="G1" s="721" t="s">
        <v>1227</v>
      </c>
      <c r="H1" s="721"/>
      <c r="I1" s="701" t="s">
        <v>292</v>
      </c>
      <c r="J1" s="701"/>
      <c r="K1" s="699" t="s">
        <v>1023</v>
      </c>
      <c r="L1" s="699"/>
      <c r="M1" s="721" t="s">
        <v>1228</v>
      </c>
      <c r="N1" s="721"/>
      <c r="O1" s="701" t="s">
        <v>292</v>
      </c>
      <c r="P1" s="701"/>
      <c r="Q1" s="699" t="s">
        <v>1073</v>
      </c>
      <c r="R1" s="699"/>
      <c r="S1" s="721" t="s">
        <v>1229</v>
      </c>
      <c r="T1" s="721"/>
      <c r="U1" s="701" t="s">
        <v>292</v>
      </c>
      <c r="V1" s="701"/>
      <c r="W1" s="699" t="s">
        <v>635</v>
      </c>
      <c r="X1" s="699"/>
      <c r="Y1" s="721" t="s">
        <v>1230</v>
      </c>
      <c r="Z1" s="721"/>
      <c r="AA1" s="701" t="s">
        <v>292</v>
      </c>
      <c r="AB1" s="701"/>
      <c r="AC1" s="699" t="s">
        <v>1100</v>
      </c>
      <c r="AD1" s="699"/>
      <c r="AE1" s="721" t="s">
        <v>1231</v>
      </c>
      <c r="AF1" s="721"/>
      <c r="AG1" s="701" t="s">
        <v>292</v>
      </c>
      <c r="AH1" s="701"/>
      <c r="AI1" s="699" t="s">
        <v>1150</v>
      </c>
      <c r="AJ1" s="699"/>
      <c r="AK1" s="721" t="s">
        <v>1234</v>
      </c>
      <c r="AL1" s="721"/>
      <c r="AM1" s="701" t="s">
        <v>1148</v>
      </c>
      <c r="AN1" s="701"/>
      <c r="AO1" s="699" t="s">
        <v>1149</v>
      </c>
      <c r="AP1" s="699"/>
      <c r="AQ1" s="721" t="s">
        <v>1235</v>
      </c>
      <c r="AR1" s="721"/>
      <c r="AS1" s="701" t="s">
        <v>1148</v>
      </c>
      <c r="AT1" s="701"/>
      <c r="AU1" s="699" t="s">
        <v>1194</v>
      </c>
      <c r="AV1" s="699"/>
      <c r="AW1" s="721" t="s">
        <v>1232</v>
      </c>
      <c r="AX1" s="721"/>
      <c r="AY1" s="699" t="s">
        <v>1258</v>
      </c>
      <c r="AZ1" s="699"/>
      <c r="BA1" s="721" t="s">
        <v>1232</v>
      </c>
      <c r="BB1" s="721"/>
      <c r="BC1" s="701" t="s">
        <v>824</v>
      </c>
      <c r="BD1" s="701"/>
      <c r="BE1" s="699" t="s">
        <v>1225</v>
      </c>
      <c r="BF1" s="699"/>
      <c r="BG1" s="721" t="s">
        <v>1233</v>
      </c>
      <c r="BH1" s="721"/>
      <c r="BI1" s="701" t="s">
        <v>824</v>
      </c>
      <c r="BJ1" s="701"/>
      <c r="BK1" s="699" t="s">
        <v>1225</v>
      </c>
      <c r="BL1" s="699"/>
      <c r="BM1" s="721" t="s">
        <v>1243</v>
      </c>
      <c r="BN1" s="721"/>
      <c r="BO1" s="701" t="s">
        <v>824</v>
      </c>
      <c r="BP1" s="701"/>
      <c r="BQ1" s="699" t="s">
        <v>1261</v>
      </c>
      <c r="BR1" s="699"/>
      <c r="BS1" s="721" t="s">
        <v>1260</v>
      </c>
      <c r="BT1" s="721"/>
      <c r="BU1" s="701" t="s">
        <v>824</v>
      </c>
      <c r="BV1" s="701"/>
      <c r="BW1" s="699" t="s">
        <v>1265</v>
      </c>
      <c r="BX1" s="699"/>
      <c r="BY1" s="721" t="s">
        <v>1287</v>
      </c>
      <c r="BZ1" s="721"/>
      <c r="CA1" s="701" t="s">
        <v>824</v>
      </c>
      <c r="CB1" s="701"/>
      <c r="CC1" s="699" t="s">
        <v>1261</v>
      </c>
      <c r="CD1" s="699"/>
      <c r="CE1" s="721" t="s">
        <v>1308</v>
      </c>
      <c r="CF1" s="721"/>
      <c r="CG1" s="701" t="s">
        <v>824</v>
      </c>
      <c r="CH1" s="701"/>
      <c r="CI1" s="699" t="s">
        <v>1265</v>
      </c>
      <c r="CJ1" s="699"/>
      <c r="CK1" s="721" t="s">
        <v>1324</v>
      </c>
      <c r="CL1" s="721"/>
      <c r="CM1" s="701" t="s">
        <v>824</v>
      </c>
      <c r="CN1" s="701"/>
      <c r="CO1" s="699" t="s">
        <v>1261</v>
      </c>
      <c r="CP1" s="699"/>
      <c r="CQ1" s="721" t="s">
        <v>1352</v>
      </c>
      <c r="CR1" s="721"/>
      <c r="CS1" s="712" t="s">
        <v>824</v>
      </c>
      <c r="CT1" s="712"/>
      <c r="CU1" s="699" t="s">
        <v>1408</v>
      </c>
      <c r="CV1" s="699"/>
      <c r="CW1" s="721" t="s">
        <v>1391</v>
      </c>
      <c r="CX1" s="721"/>
      <c r="CY1" s="712" t="s">
        <v>824</v>
      </c>
      <c r="CZ1" s="712"/>
      <c r="DA1" s="699" t="s">
        <v>1614</v>
      </c>
      <c r="DB1" s="699"/>
      <c r="DC1" s="721" t="s">
        <v>1411</v>
      </c>
      <c r="DD1" s="721"/>
      <c r="DE1" s="712" t="s">
        <v>824</v>
      </c>
      <c r="DF1" s="712"/>
      <c r="DG1" s="699" t="s">
        <v>1508</v>
      </c>
      <c r="DH1" s="699"/>
      <c r="DI1" s="721" t="s">
        <v>1611</v>
      </c>
      <c r="DJ1" s="721"/>
      <c r="DK1" s="712" t="s">
        <v>824</v>
      </c>
      <c r="DL1" s="712"/>
      <c r="DM1" s="699" t="s">
        <v>1408</v>
      </c>
      <c r="DN1" s="699"/>
      <c r="DO1" s="721" t="s">
        <v>1612</v>
      </c>
      <c r="DP1" s="721"/>
      <c r="DQ1" s="712" t="s">
        <v>824</v>
      </c>
      <c r="DR1" s="712"/>
      <c r="DS1" s="699" t="s">
        <v>1607</v>
      </c>
      <c r="DT1" s="699"/>
      <c r="DU1" s="721" t="s">
        <v>1613</v>
      </c>
      <c r="DV1" s="721"/>
      <c r="DW1" s="712" t="s">
        <v>824</v>
      </c>
      <c r="DX1" s="712"/>
      <c r="DY1" s="699" t="s">
        <v>1633</v>
      </c>
      <c r="DZ1" s="699"/>
      <c r="EA1" s="711" t="s">
        <v>1628</v>
      </c>
      <c r="EB1" s="711"/>
      <c r="EC1" s="712" t="s">
        <v>824</v>
      </c>
      <c r="ED1" s="712"/>
      <c r="EE1" s="699" t="s">
        <v>1607</v>
      </c>
      <c r="EF1" s="699"/>
      <c r="EG1" s="368"/>
      <c r="EH1" s="711" t="s">
        <v>1658</v>
      </c>
      <c r="EI1" s="711"/>
      <c r="EJ1" s="712" t="s">
        <v>824</v>
      </c>
      <c r="EK1" s="712"/>
      <c r="EL1" s="699" t="s">
        <v>1692</v>
      </c>
      <c r="EM1" s="699"/>
      <c r="EN1" s="711" t="s">
        <v>1683</v>
      </c>
      <c r="EO1" s="711"/>
      <c r="EP1" s="712" t="s">
        <v>824</v>
      </c>
      <c r="EQ1" s="712"/>
      <c r="ER1" s="699" t="s">
        <v>1732</v>
      </c>
      <c r="ES1" s="699"/>
      <c r="ET1" s="711" t="s">
        <v>1725</v>
      </c>
      <c r="EU1" s="711"/>
      <c r="EV1" s="712" t="s">
        <v>824</v>
      </c>
      <c r="EW1" s="712"/>
      <c r="EX1" s="699" t="s">
        <v>1633</v>
      </c>
      <c r="EY1" s="699"/>
      <c r="EZ1" s="711" t="s">
        <v>1760</v>
      </c>
      <c r="FA1" s="711"/>
      <c r="FB1" s="712" t="s">
        <v>824</v>
      </c>
      <c r="FC1" s="712"/>
      <c r="FD1" s="699" t="s">
        <v>1614</v>
      </c>
      <c r="FE1" s="699"/>
      <c r="FF1" s="711" t="s">
        <v>1799</v>
      </c>
      <c r="FG1" s="711"/>
      <c r="FH1" s="712" t="s">
        <v>824</v>
      </c>
      <c r="FI1" s="712"/>
      <c r="FJ1" s="699" t="s">
        <v>1408</v>
      </c>
      <c r="FK1" s="699"/>
      <c r="FL1" s="711" t="s">
        <v>1834</v>
      </c>
      <c r="FM1" s="711"/>
      <c r="FN1" s="712" t="s">
        <v>824</v>
      </c>
      <c r="FO1" s="712"/>
      <c r="FP1" s="699" t="s">
        <v>1881</v>
      </c>
      <c r="FQ1" s="699"/>
      <c r="FR1" s="711" t="s">
        <v>1870</v>
      </c>
      <c r="FS1" s="711"/>
      <c r="FT1" s="712" t="s">
        <v>824</v>
      </c>
      <c r="FU1" s="712"/>
      <c r="FV1" s="699" t="s">
        <v>1881</v>
      </c>
      <c r="FW1" s="699"/>
      <c r="FX1" s="711" t="s">
        <v>2014</v>
      </c>
      <c r="FY1" s="711"/>
      <c r="FZ1" s="712" t="s">
        <v>824</v>
      </c>
      <c r="GA1" s="712"/>
      <c r="GB1" s="699" t="s">
        <v>1633</v>
      </c>
      <c r="GC1" s="699"/>
      <c r="GD1" s="711" t="s">
        <v>2015</v>
      </c>
      <c r="GE1" s="711"/>
      <c r="GF1" s="712" t="s">
        <v>824</v>
      </c>
      <c r="GG1" s="712"/>
      <c r="GH1" s="699" t="s">
        <v>1607</v>
      </c>
      <c r="GI1" s="699"/>
      <c r="GJ1" s="711" t="s">
        <v>2024</v>
      </c>
      <c r="GK1" s="711"/>
      <c r="GL1" s="712" t="s">
        <v>824</v>
      </c>
      <c r="GM1" s="712"/>
      <c r="GN1" s="699" t="s">
        <v>1607</v>
      </c>
      <c r="GO1" s="699"/>
      <c r="GP1" s="711" t="s">
        <v>2066</v>
      </c>
      <c r="GQ1" s="711"/>
      <c r="GR1" s="712" t="s">
        <v>824</v>
      </c>
      <c r="GS1" s="712"/>
      <c r="GT1" s="699" t="s">
        <v>1692</v>
      </c>
      <c r="GU1" s="699"/>
      <c r="GV1" s="711" t="s">
        <v>2100</v>
      </c>
      <c r="GW1" s="711"/>
      <c r="GX1" s="712" t="s">
        <v>824</v>
      </c>
      <c r="GY1" s="712"/>
      <c r="GZ1" s="699" t="s">
        <v>2139</v>
      </c>
      <c r="HA1" s="699"/>
      <c r="HB1" s="711" t="s">
        <v>2159</v>
      </c>
      <c r="HC1" s="711"/>
      <c r="HD1" s="712" t="s">
        <v>824</v>
      </c>
      <c r="HE1" s="712"/>
      <c r="HF1" s="699" t="s">
        <v>1732</v>
      </c>
      <c r="HG1" s="699"/>
      <c r="HH1" s="711" t="s">
        <v>2172</v>
      </c>
      <c r="HI1" s="711"/>
      <c r="HJ1" s="712" t="s">
        <v>824</v>
      </c>
      <c r="HK1" s="712"/>
      <c r="HL1" s="699" t="s">
        <v>1408</v>
      </c>
      <c r="HM1" s="699"/>
      <c r="HN1" s="711" t="s">
        <v>2218</v>
      </c>
      <c r="HO1" s="711"/>
      <c r="HP1" s="712" t="s">
        <v>824</v>
      </c>
      <c r="HQ1" s="712"/>
      <c r="HR1" s="699" t="s">
        <v>1408</v>
      </c>
      <c r="HS1" s="699"/>
      <c r="HT1" s="711" t="s">
        <v>2274</v>
      </c>
      <c r="HU1" s="711"/>
      <c r="HV1" s="712" t="s">
        <v>824</v>
      </c>
      <c r="HW1" s="712"/>
      <c r="HX1" s="699" t="s">
        <v>1633</v>
      </c>
      <c r="HY1" s="699"/>
      <c r="HZ1" s="711" t="s">
        <v>2336</v>
      </c>
      <c r="IA1" s="711"/>
      <c r="IB1" s="712" t="s">
        <v>824</v>
      </c>
      <c r="IC1" s="712"/>
      <c r="ID1" s="699" t="s">
        <v>1732</v>
      </c>
      <c r="IE1" s="699"/>
      <c r="IF1" s="711" t="s">
        <v>2404</v>
      </c>
      <c r="IG1" s="711"/>
      <c r="IH1" s="712" t="s">
        <v>824</v>
      </c>
      <c r="II1" s="712"/>
      <c r="IJ1" s="699" t="s">
        <v>1607</v>
      </c>
      <c r="IK1" s="699"/>
      <c r="IL1" s="711" t="s">
        <v>2480</v>
      </c>
      <c r="IM1" s="711"/>
      <c r="IN1" s="712" t="s">
        <v>824</v>
      </c>
      <c r="IO1" s="712"/>
      <c r="IP1" s="699" t="s">
        <v>1633</v>
      </c>
      <c r="IQ1" s="699"/>
      <c r="IR1" s="711" t="s">
        <v>2591</v>
      </c>
      <c r="IS1" s="711"/>
      <c r="IT1" s="712" t="s">
        <v>824</v>
      </c>
      <c r="IU1" s="712"/>
      <c r="IV1" s="699" t="s">
        <v>1765</v>
      </c>
      <c r="IW1" s="699"/>
      <c r="IX1" s="711" t="s">
        <v>2338</v>
      </c>
      <c r="IY1" s="711"/>
      <c r="IZ1" s="633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32" t="s">
        <v>295</v>
      </c>
      <c r="IU2" s="538">
        <f>SUM(IU3:IU23)</f>
        <v>43272.87</v>
      </c>
      <c r="IV2" s="341" t="s">
        <v>296</v>
      </c>
      <c r="IW2" s="280">
        <f>IU2+IS2-IY2</f>
        <v>838.58000000000902</v>
      </c>
      <c r="IX2" s="632" t="s">
        <v>1928</v>
      </c>
      <c r="IY2" s="370">
        <f>SUM(IY3:IY29)</f>
        <v>53420.289999999994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49306.650000000016</v>
      </c>
      <c r="IB3" t="s">
        <v>641</v>
      </c>
      <c r="IC3" s="538">
        <v>15104.63</v>
      </c>
      <c r="ID3" s="341" t="s">
        <v>2420</v>
      </c>
      <c r="IE3" s="280">
        <f>IE2-IC26-IC27</f>
        <v>6802.6743333333579</v>
      </c>
      <c r="IF3" t="s">
        <v>2382</v>
      </c>
      <c r="IG3" s="275">
        <f>IA6</f>
        <v>-490000</v>
      </c>
      <c r="IH3" t="s">
        <v>641</v>
      </c>
      <c r="II3" s="538">
        <v>15104.63</v>
      </c>
      <c r="IJ3" t="s">
        <v>2434</v>
      </c>
      <c r="IK3" s="280">
        <f>IK2-II42-II41</f>
        <v>9220.5533333333115</v>
      </c>
      <c r="IL3" t="s">
        <v>2382</v>
      </c>
      <c r="IM3" s="275">
        <f>IG3</f>
        <v>-490000</v>
      </c>
      <c r="IN3" t="s">
        <v>641</v>
      </c>
      <c r="IO3" s="588">
        <v>15104.63</v>
      </c>
      <c r="IP3" t="s">
        <v>2434</v>
      </c>
      <c r="IQ3" s="280">
        <f>IQ2-IO34-IO33-IQ57</f>
        <v>5631.8933333333498</v>
      </c>
      <c r="IR3" t="s">
        <v>2382</v>
      </c>
      <c r="IS3" s="275">
        <f>IM3</f>
        <v>-490000</v>
      </c>
      <c r="IT3" s="632" t="s">
        <v>641</v>
      </c>
      <c r="IU3" s="588">
        <v>43151.3</v>
      </c>
      <c r="IV3" s="632" t="s">
        <v>2434</v>
      </c>
      <c r="IW3" s="280">
        <f>IW2-IU31-IU30-IW49</f>
        <v>838.58000000000902</v>
      </c>
      <c r="IX3" s="632" t="s">
        <v>2382</v>
      </c>
      <c r="IY3" s="275">
        <f>IM3</f>
        <v>-490000</v>
      </c>
    </row>
    <row r="4" spans="1:261" ht="12.75" customHeight="1" thickBot="1" x14ac:dyDescent="0.25">
      <c r="A4" s="683" t="s">
        <v>1003</v>
      </c>
      <c r="B4" s="683"/>
      <c r="E4" s="173" t="s">
        <v>233</v>
      </c>
      <c r="F4" s="177">
        <f>F3-F5</f>
        <v>17</v>
      </c>
      <c r="G4" s="683" t="s">
        <v>1003</v>
      </c>
      <c r="H4" s="683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501602.45666666684</v>
      </c>
      <c r="HZ4" t="s">
        <v>2383</v>
      </c>
      <c r="IA4" s="370"/>
      <c r="IB4" t="s">
        <v>2387</v>
      </c>
      <c r="IC4" s="538">
        <v>-1437.02</v>
      </c>
      <c r="ID4" t="s">
        <v>2433</v>
      </c>
      <c r="IE4" s="280">
        <f>IE3-IE57</f>
        <v>3490.884333333358</v>
      </c>
      <c r="IF4" s="1" t="s">
        <v>1647</v>
      </c>
      <c r="IG4" s="145">
        <v>-192</v>
      </c>
      <c r="IH4" t="s">
        <v>2464</v>
      </c>
      <c r="II4" s="538">
        <v>-1437.02</v>
      </c>
      <c r="IJ4" s="568" t="s">
        <v>2486</v>
      </c>
      <c r="IK4" s="280">
        <f>IK3-II43</f>
        <v>5752.8033333333115</v>
      </c>
      <c r="IL4" s="1" t="s">
        <v>2316</v>
      </c>
      <c r="IM4" s="279">
        <v>-75000</v>
      </c>
      <c r="IN4" t="s">
        <v>2464</v>
      </c>
      <c r="IO4" s="538">
        <v>-1437.02</v>
      </c>
      <c r="IP4" t="s">
        <v>1220</v>
      </c>
      <c r="IQ4" s="293">
        <f>IQ2-IQ5</f>
        <v>2.9700000000175351</v>
      </c>
      <c r="IR4" s="1" t="s">
        <v>2316</v>
      </c>
      <c r="IS4" s="279">
        <v>-75000</v>
      </c>
      <c r="IT4" s="632" t="s">
        <v>2464</v>
      </c>
      <c r="IU4" s="538"/>
      <c r="IV4" s="632" t="s">
        <v>1220</v>
      </c>
      <c r="IW4" s="293">
        <f>IW2-IW5</f>
        <v>-3.4299999999910824</v>
      </c>
      <c r="IX4" s="637" t="s">
        <v>2316</v>
      </c>
      <c r="IY4" s="279">
        <v>-75000</v>
      </c>
      <c r="IZ4" s="108"/>
    </row>
    <row r="5" spans="1:261" x14ac:dyDescent="0.2">
      <c r="A5" s="683"/>
      <c r="B5" s="683"/>
      <c r="E5" s="173" t="s">
        <v>358</v>
      </c>
      <c r="F5" s="177">
        <f>SUM(F15:F56)</f>
        <v>12750</v>
      </c>
      <c r="G5" s="683"/>
      <c r="H5" s="683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HY4-HY52</f>
        <v>494272.95666666684</v>
      </c>
      <c r="HZ5" t="s">
        <v>2384</v>
      </c>
      <c r="IA5" s="370"/>
      <c r="IB5" t="s">
        <v>1595</v>
      </c>
      <c r="IC5" s="538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2457</v>
      </c>
      <c r="II5" s="538">
        <v>100</v>
      </c>
      <c r="IJ5" t="s">
        <v>1220</v>
      </c>
      <c r="IK5" s="293">
        <f>IK2-IK6</f>
        <v>1.0099999999802094</v>
      </c>
      <c r="IL5" s="570" t="s">
        <v>2439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32" t="s">
        <v>2614</v>
      </c>
      <c r="IU5" s="538">
        <v>100</v>
      </c>
      <c r="IV5" s="632" t="s">
        <v>358</v>
      </c>
      <c r="IW5" s="280">
        <f>SUM(IW6:IW49)</f>
        <v>842.0100000000001</v>
      </c>
      <c r="IX5" s="636" t="s">
        <v>2439</v>
      </c>
      <c r="IY5" s="644">
        <v>-4750</v>
      </c>
      <c r="IZ5" s="108">
        <v>44957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490000.6100000001</v>
      </c>
      <c r="HZ6" t="s">
        <v>2382</v>
      </c>
      <c r="IA6" s="275">
        <v>-490000</v>
      </c>
      <c r="IB6" t="s">
        <v>2362</v>
      </c>
      <c r="IC6" s="539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8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8"/>
      <c r="IP6" s="358" t="s">
        <v>2496</v>
      </c>
      <c r="IQ6" s="61">
        <v>26</v>
      </c>
      <c r="IR6" t="s">
        <v>2461</v>
      </c>
      <c r="IS6" s="275">
        <v>305005</v>
      </c>
      <c r="IU6" s="538"/>
      <c r="IV6" s="358" t="s">
        <v>2496</v>
      </c>
      <c r="IW6" s="61"/>
      <c r="IX6" s="632" t="s">
        <v>2461</v>
      </c>
      <c r="IY6" s="275">
        <v>355000</v>
      </c>
      <c r="IZ6" s="108">
        <v>44957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SUM(HY8:HY52)</f>
        <v>198928.51</v>
      </c>
      <c r="HZ7" s="1" t="s">
        <v>1647</v>
      </c>
      <c r="IA7" s="145">
        <v>-889</v>
      </c>
      <c r="IB7" t="s">
        <v>1296</v>
      </c>
      <c r="IC7" s="539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8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2579</v>
      </c>
      <c r="IO7" s="538"/>
      <c r="IP7" s="358" t="s">
        <v>2533</v>
      </c>
      <c r="IQ7" s="61">
        <v>17</v>
      </c>
      <c r="IR7" s="327" t="s">
        <v>2504</v>
      </c>
      <c r="IS7" s="645">
        <v>0</v>
      </c>
      <c r="IT7" s="632" t="s">
        <v>2579</v>
      </c>
      <c r="IU7" s="538"/>
      <c r="IV7" s="358" t="s">
        <v>2533</v>
      </c>
      <c r="IW7" s="61"/>
      <c r="IX7" s="327" t="s">
        <v>2504</v>
      </c>
      <c r="IY7" s="645">
        <v>0.09</v>
      </c>
      <c r="IZ7" s="108">
        <v>44957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8"/>
      <c r="ID8" s="402" t="s">
        <v>2349</v>
      </c>
      <c r="IE8">
        <v>5.73</v>
      </c>
      <c r="IF8" s="6" t="s">
        <v>1855</v>
      </c>
      <c r="IG8" s="542">
        <v>2499</v>
      </c>
      <c r="II8" s="538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8">
        <v>36.42</v>
      </c>
      <c r="IP8" s="358" t="s">
        <v>1014</v>
      </c>
      <c r="IQ8" s="61">
        <v>1900.01</v>
      </c>
      <c r="IR8" s="1" t="s">
        <v>1647</v>
      </c>
      <c r="IS8" s="643">
        <v>-3061</v>
      </c>
      <c r="IU8" s="538"/>
      <c r="IV8" s="358" t="s">
        <v>1014</v>
      </c>
      <c r="IW8" s="61" t="s">
        <v>2610</v>
      </c>
      <c r="IX8" s="637" t="s">
        <v>1647</v>
      </c>
      <c r="IY8" s="219">
        <v>-3260</v>
      </c>
      <c r="IZ8" s="533">
        <v>44952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8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2" t="s">
        <v>2423</v>
      </c>
      <c r="IK9" s="351">
        <f>6+5+3+10+7</f>
        <v>31</v>
      </c>
      <c r="IL9" s="327" t="s">
        <v>1648</v>
      </c>
      <c r="IM9" s="416">
        <v>0.08</v>
      </c>
      <c r="IN9" t="s">
        <v>2580</v>
      </c>
      <c r="IO9">
        <f>9.9+76.9</f>
        <v>86.800000000000011</v>
      </c>
      <c r="IP9" s="358" t="s">
        <v>2528</v>
      </c>
      <c r="IQ9" s="61">
        <v>2000</v>
      </c>
      <c r="IR9" s="6" t="s">
        <v>2578</v>
      </c>
      <c r="IS9" s="366">
        <v>116</v>
      </c>
      <c r="IV9" s="358" t="s">
        <v>2589</v>
      </c>
      <c r="IW9" s="61"/>
      <c r="IX9" s="635" t="s">
        <v>2578</v>
      </c>
      <c r="IY9" s="366">
        <v>0</v>
      </c>
      <c r="IZ9" s="108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9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2585</v>
      </c>
      <c r="IO10" s="621">
        <v>46.26</v>
      </c>
      <c r="IP10" s="353" t="s">
        <v>2499</v>
      </c>
      <c r="IQ10" s="580">
        <v>210.89</v>
      </c>
      <c r="IR10" s="6" t="s">
        <v>1855</v>
      </c>
      <c r="IS10" s="563">
        <v>2500</v>
      </c>
      <c r="IT10" s="9"/>
      <c r="IV10" s="402" t="s">
        <v>2647</v>
      </c>
      <c r="IW10" s="579">
        <v>378.81</v>
      </c>
      <c r="IX10" s="635" t="s">
        <v>1855</v>
      </c>
      <c r="IY10" s="672">
        <v>600</v>
      </c>
      <c r="IZ10" s="108">
        <v>44957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9">
        <v>12.88</v>
      </c>
      <c r="ID11" s="557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3">
        <v>2499</v>
      </c>
      <c r="IN11" s="9" t="s">
        <v>2586</v>
      </c>
      <c r="IO11" s="622">
        <v>10</v>
      </c>
      <c r="IP11" s="353" t="s">
        <v>2597</v>
      </c>
      <c r="IQ11" s="61">
        <f>406.6+487.92</f>
        <v>894.52</v>
      </c>
      <c r="IR11" s="66" t="s">
        <v>1522</v>
      </c>
      <c r="IS11" s="275">
        <v>364</v>
      </c>
      <c r="IT11" s="9"/>
      <c r="IV11" s="353" t="s">
        <v>1880</v>
      </c>
      <c r="IW11" s="580"/>
      <c r="IX11" s="636" t="s">
        <v>1522</v>
      </c>
      <c r="IY11" s="275">
        <v>603</v>
      </c>
      <c r="IZ11" s="108">
        <v>44956</v>
      </c>
      <c r="JA11" s="275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9">
        <v>3.0009999999999999</v>
      </c>
      <c r="ID12" s="558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V12" s="353" t="s">
        <v>1880</v>
      </c>
      <c r="IW12" s="61"/>
      <c r="IX12" s="636" t="s">
        <v>2530</v>
      </c>
      <c r="IY12" s="275">
        <v>1985</v>
      </c>
      <c r="IZ12" s="108">
        <v>44956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9">
        <v>203.43</v>
      </c>
      <c r="ID13" s="558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60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60"/>
      <c r="IP13" s="352" t="s">
        <v>2593</v>
      </c>
      <c r="IQ13" s="420">
        <f>2750.62/3</f>
        <v>916.87333333333333</v>
      </c>
      <c r="IR13" s="261" t="s">
        <v>2598</v>
      </c>
      <c r="IS13" s="2">
        <v>142</v>
      </c>
      <c r="IT13" s="632" t="s">
        <v>2449</v>
      </c>
      <c r="IU13" s="560"/>
      <c r="IV13" s="252" t="s">
        <v>2038</v>
      </c>
      <c r="IW13" s="61"/>
      <c r="IX13" s="636" t="s">
        <v>2605</v>
      </c>
      <c r="IY13" s="644">
        <v>0</v>
      </c>
      <c r="IZ13" s="108"/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3" t="s">
        <v>2203</v>
      </c>
      <c r="HK14" s="693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2337</v>
      </c>
      <c r="HY14" s="420">
        <f>HY15*5</f>
        <v>2104.9333333333334</v>
      </c>
      <c r="HZ14" s="66" t="s">
        <v>1523</v>
      </c>
      <c r="IA14" s="145">
        <v>2028</v>
      </c>
      <c r="IB14" t="s">
        <v>2351</v>
      </c>
      <c r="IC14" s="538">
        <v>13.56</v>
      </c>
      <c r="ID14" s="558" t="s">
        <v>2408</v>
      </c>
      <c r="IE14" s="279">
        <v>2000</v>
      </c>
      <c r="IF14" s="66" t="s">
        <v>2220</v>
      </c>
      <c r="IG14" s="2">
        <v>1000</v>
      </c>
      <c r="II14" s="560"/>
      <c r="IJ14" s="252" t="s">
        <v>2275</v>
      </c>
      <c r="IK14">
        <v>100</v>
      </c>
      <c r="IL14" s="536" t="s">
        <v>2479</v>
      </c>
      <c r="IM14" s="275">
        <v>3140</v>
      </c>
      <c r="IN14" t="s">
        <v>2181</v>
      </c>
      <c r="IO14" s="560">
        <f>75+12</f>
        <v>87</v>
      </c>
      <c r="IP14" s="352" t="s">
        <v>2193</v>
      </c>
      <c r="IQ14" s="622">
        <v>30</v>
      </c>
      <c r="IR14" s="66" t="s">
        <v>2503</v>
      </c>
      <c r="IS14" s="2" t="s">
        <v>2595</v>
      </c>
      <c r="IT14" s="632" t="s">
        <v>2181</v>
      </c>
      <c r="IU14" s="560"/>
      <c r="IV14" s="252" t="s">
        <v>2407</v>
      </c>
      <c r="IW14" s="61"/>
      <c r="IX14" s="261" t="s">
        <v>2488</v>
      </c>
      <c r="IY14" s="2">
        <f>100*(120+1000+330+310)</f>
        <v>176000</v>
      </c>
      <c r="IZ14" s="108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15" t="s">
        <v>1521</v>
      </c>
      <c r="DP15" s="716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352" t="s">
        <v>2088</v>
      </c>
      <c r="HY15" s="420">
        <f>2525.92/6</f>
        <v>420.98666666666668</v>
      </c>
      <c r="HZ15" s="66" t="s">
        <v>2325</v>
      </c>
      <c r="IA15" s="275">
        <v>442</v>
      </c>
      <c r="IB15" t="s">
        <v>2364</v>
      </c>
      <c r="IC15" s="538"/>
      <c r="ID15" s="559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8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8">
        <v>12.4</v>
      </c>
      <c r="IP15" s="352" t="s">
        <v>2373</v>
      </c>
      <c r="IQ15" s="581">
        <v>119.64</v>
      </c>
      <c r="IR15" s="261" t="s">
        <v>2488</v>
      </c>
      <c r="IS15" s="2">
        <f>100*(120+1000+330+310)</f>
        <v>176000</v>
      </c>
      <c r="IT15" s="632" t="s">
        <v>2602</v>
      </c>
      <c r="IU15" s="538">
        <v>7.57</v>
      </c>
      <c r="IV15" s="352" t="s">
        <v>2590</v>
      </c>
      <c r="IW15" s="61"/>
      <c r="IX15" s="636" t="s">
        <v>2450</v>
      </c>
      <c r="IY15" s="2">
        <v>24508</v>
      </c>
      <c r="IZ15" s="655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5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3" t="s">
        <v>2357</v>
      </c>
      <c r="IC16" s="544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8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8" t="s">
        <v>1816</v>
      </c>
      <c r="IO16" s="538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32" t="s">
        <v>2600</v>
      </c>
      <c r="IU16" s="538">
        <v>14</v>
      </c>
      <c r="IV16" s="352" t="s">
        <v>2612</v>
      </c>
      <c r="IW16" s="61">
        <v>47.54</v>
      </c>
      <c r="IX16" s="536" t="s">
        <v>2505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45" t="s">
        <v>2361</v>
      </c>
      <c r="IC17" s="546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9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9">
        <f>149.59*2</f>
        <v>299.18</v>
      </c>
      <c r="IP17" s="352" t="s">
        <v>2205</v>
      </c>
      <c r="IQ17" s="61">
        <v>18</v>
      </c>
      <c r="IR17" s="536" t="s">
        <v>2505</v>
      </c>
      <c r="IS17" s="248">
        <v>65005</v>
      </c>
      <c r="IU17" s="539"/>
      <c r="IV17" s="352" t="s">
        <v>2193</v>
      </c>
      <c r="IX17" s="636" t="s">
        <v>2599</v>
      </c>
      <c r="IY17" s="275">
        <v>175</v>
      </c>
      <c r="IZ17" s="108">
        <v>44958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5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47" t="s">
        <v>2358</v>
      </c>
      <c r="IC18" s="546">
        <f>20.89*3</f>
        <v>62.67</v>
      </c>
      <c r="ID18" s="352" t="s">
        <v>2088</v>
      </c>
      <c r="IE18" s="420">
        <f>2750.62/3</f>
        <v>916.87333333333333</v>
      </c>
      <c r="IF18" s="536" t="s">
        <v>2305</v>
      </c>
      <c r="IG18" s="275">
        <v>295021.18</v>
      </c>
      <c r="IH18" t="s">
        <v>2489</v>
      </c>
      <c r="II18" s="539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V18" s="352" t="s">
        <v>2603</v>
      </c>
      <c r="IW18" s="581" t="s">
        <v>2604</v>
      </c>
      <c r="IX18" s="637" t="s">
        <v>2594</v>
      </c>
      <c r="IY18" s="632">
        <v>240</v>
      </c>
      <c r="IZ18" s="108">
        <v>44957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15" t="s">
        <v>1491</v>
      </c>
      <c r="DJ19" s="716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5">
        <v>18.8</v>
      </c>
      <c r="HX19" s="352" t="s">
        <v>1212</v>
      </c>
      <c r="HY19">
        <f>6.5+15+10+6.7</f>
        <v>38.200000000000003</v>
      </c>
      <c r="HZ19" s="66" t="s">
        <v>2356</v>
      </c>
      <c r="IA19">
        <v>12000</v>
      </c>
      <c r="IB19" s="545" t="s">
        <v>2359</v>
      </c>
      <c r="IC19" s="546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8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2600</v>
      </c>
      <c r="IO19" s="538">
        <v>5</v>
      </c>
      <c r="IP19" s="352" t="s">
        <v>2577</v>
      </c>
      <c r="IQ19" s="61">
        <f>IM29</f>
        <v>21.35</v>
      </c>
      <c r="IR19" s="1" t="s">
        <v>2492</v>
      </c>
      <c r="IS19">
        <v>170</v>
      </c>
      <c r="IU19" s="538"/>
      <c r="IV19" s="352" t="s">
        <v>1212</v>
      </c>
      <c r="IW19" s="61"/>
      <c r="IX19" s="639" t="s">
        <v>2491</v>
      </c>
      <c r="IY19" s="632">
        <v>2007</v>
      </c>
      <c r="IZ19" s="108"/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2355</v>
      </c>
      <c r="IB20" s="548" t="s">
        <v>2360</v>
      </c>
      <c r="IC20" s="549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2"/>
      <c r="IO20" s="538"/>
      <c r="IP20" s="352" t="s">
        <v>2403</v>
      </c>
      <c r="IQ20" s="61">
        <f>17.6+10+15.04+18.67+17.63+10+18.43+12.51+10+16.42</f>
        <v>146.30000000000001</v>
      </c>
      <c r="IR20" s="569" t="s">
        <v>2531</v>
      </c>
      <c r="IU20" s="538"/>
      <c r="IV20" s="352" t="s">
        <v>2205</v>
      </c>
      <c r="IW20" s="61">
        <f>9</f>
        <v>9</v>
      </c>
      <c r="IX20" s="638" t="s">
        <v>2517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4"/>
      <c r="HX21" s="352" t="s">
        <v>2301</v>
      </c>
      <c r="HY21">
        <v>64</v>
      </c>
      <c r="HZ21" s="536" t="s">
        <v>2305</v>
      </c>
      <c r="IA21" s="551">
        <v>345026.96</v>
      </c>
      <c r="IB21" s="552" t="s">
        <v>2360</v>
      </c>
      <c r="IC21" s="553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6" t="s">
        <v>2305</v>
      </c>
      <c r="IM21" s="248">
        <v>65005</v>
      </c>
      <c r="IN21" s="592"/>
      <c r="IO21" s="538"/>
      <c r="IP21" s="344" t="s">
        <v>2562</v>
      </c>
      <c r="IQ21" s="61">
        <v>30</v>
      </c>
      <c r="IR21" s="7" t="s">
        <v>2491</v>
      </c>
      <c r="IS21">
        <v>2007</v>
      </c>
      <c r="IU21" s="538"/>
      <c r="IV21" s="352" t="s">
        <v>2501</v>
      </c>
      <c r="IW21" s="61"/>
      <c r="IX21" s="638"/>
      <c r="IZ21" s="646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1" t="s">
        <v>515</v>
      </c>
      <c r="N22" s="731"/>
      <c r="Q22" s="169" t="s">
        <v>371</v>
      </c>
      <c r="S22" s="731" t="s">
        <v>515</v>
      </c>
      <c r="T22" s="731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8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2342</v>
      </c>
      <c r="HY22">
        <v>30</v>
      </c>
      <c r="HZ22" s="66" t="s">
        <v>2222</v>
      </c>
      <c r="IA22" s="279">
        <v>2000</v>
      </c>
      <c r="IB22" s="554" t="s">
        <v>2358</v>
      </c>
      <c r="IC22" s="555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21"/>
      <c r="IO22" s="538"/>
      <c r="IP22" s="344" t="s">
        <v>2513</v>
      </c>
      <c r="IQ22" s="61">
        <v>10</v>
      </c>
      <c r="IR22" s="584" t="s">
        <v>2517</v>
      </c>
      <c r="IS22" s="583"/>
      <c r="IU22" s="538"/>
      <c r="IV22" s="352" t="s">
        <v>2403</v>
      </c>
      <c r="IW22" s="61">
        <f>15.7+10+18.29+10+10+15.09</f>
        <v>79.08</v>
      </c>
      <c r="IX22" s="638" t="s">
        <v>2460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6" t="s">
        <v>1002</v>
      </c>
      <c r="N23" s="726"/>
      <c r="Q23" s="169" t="s">
        <v>375</v>
      </c>
      <c r="S23" s="726" t="s">
        <v>1002</v>
      </c>
      <c r="T23" s="726"/>
      <c r="W23" s="250" t="s">
        <v>1031</v>
      </c>
      <c r="X23" s="145">
        <v>0</v>
      </c>
      <c r="Y23" s="731" t="s">
        <v>515</v>
      </c>
      <c r="Z23" s="731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8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4" t="s">
        <v>2188</v>
      </c>
      <c r="HK23" s="684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4" t="s">
        <v>2188</v>
      </c>
      <c r="HW23" s="684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21"/>
      <c r="IO23" s="538"/>
      <c r="IP23" s="344" t="s">
        <v>1908</v>
      </c>
      <c r="IQ23" s="61">
        <v>80</v>
      </c>
      <c r="IR23" s="260" t="s">
        <v>2509</v>
      </c>
      <c r="IS23" s="285"/>
      <c r="IT23" s="415"/>
      <c r="IU23" s="556"/>
      <c r="IV23" s="344" t="s">
        <v>1880</v>
      </c>
      <c r="IW23" s="61"/>
      <c r="IX23" s="671" t="s">
        <v>2663</v>
      </c>
      <c r="IY23" s="670">
        <v>129.6</v>
      </c>
    </row>
    <row r="24" spans="1:261" x14ac:dyDescent="0.2">
      <c r="A24" s="731" t="s">
        <v>515</v>
      </c>
      <c r="B24" s="731"/>
      <c r="E24" s="167" t="s">
        <v>237</v>
      </c>
      <c r="F24" s="169"/>
      <c r="G24" s="731" t="s">
        <v>515</v>
      </c>
      <c r="H24" s="731"/>
      <c r="K24" s="250" t="s">
        <v>1031</v>
      </c>
      <c r="L24" s="145">
        <v>0</v>
      </c>
      <c r="M24" s="705"/>
      <c r="N24" s="705"/>
      <c r="Q24" s="169" t="s">
        <v>1072</v>
      </c>
      <c r="S24" s="705"/>
      <c r="T24" s="705"/>
      <c r="W24" s="250" t="s">
        <v>1039</v>
      </c>
      <c r="X24" s="210">
        <v>0</v>
      </c>
      <c r="Y24" s="726" t="s">
        <v>1002</v>
      </c>
      <c r="Z24" s="726"/>
      <c r="AC24"/>
      <c r="AE24" s="731" t="s">
        <v>515</v>
      </c>
      <c r="AF24" s="731"/>
      <c r="AI24"/>
      <c r="AK24" s="731" t="s">
        <v>515</v>
      </c>
      <c r="AL24" s="731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7" t="s">
        <v>1553</v>
      </c>
      <c r="EF24" s="717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8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8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2341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1" t="s">
        <v>2491</v>
      </c>
      <c r="IM24">
        <v>1004</v>
      </c>
      <c r="IN24" s="621"/>
      <c r="IO24" s="538"/>
      <c r="IP24" s="344" t="s">
        <v>2510</v>
      </c>
      <c r="IQ24" s="61">
        <v>40.5</v>
      </c>
      <c r="IR24" s="585" t="s">
        <v>2519</v>
      </c>
      <c r="IS24" s="583">
        <v>28</v>
      </c>
      <c r="IT24" s="415"/>
      <c r="IU24" s="556"/>
      <c r="IV24" s="344" t="s">
        <v>1880</v>
      </c>
      <c r="IW24" s="61"/>
      <c r="IX24" s="647" t="s">
        <v>2671</v>
      </c>
      <c r="IY24" s="647">
        <v>57.6</v>
      </c>
    </row>
    <row r="25" spans="1:261" x14ac:dyDescent="0.2">
      <c r="A25" s="726" t="s">
        <v>1002</v>
      </c>
      <c r="B25" s="726"/>
      <c r="E25" s="167" t="s">
        <v>139</v>
      </c>
      <c r="F25" s="169"/>
      <c r="G25" s="726" t="s">
        <v>1002</v>
      </c>
      <c r="H25" s="726"/>
      <c r="K25" s="250" t="s">
        <v>1039</v>
      </c>
      <c r="L25" s="210">
        <v>0</v>
      </c>
      <c r="M25" s="705"/>
      <c r="N25" s="705"/>
      <c r="Q25" s="250" t="s">
        <v>1041</v>
      </c>
      <c r="R25" s="145">
        <v>0</v>
      </c>
      <c r="S25" s="705"/>
      <c r="T25" s="705"/>
      <c r="W25" s="250" t="s">
        <v>1066</v>
      </c>
      <c r="X25" s="145">
        <v>910.17</v>
      </c>
      <c r="Y25" s="705"/>
      <c r="Z25" s="705"/>
      <c r="AC25" s="255" t="s">
        <v>1099</v>
      </c>
      <c r="AD25" s="145">
        <v>90</v>
      </c>
      <c r="AE25" s="726" t="s">
        <v>1002</v>
      </c>
      <c r="AF25" s="726"/>
      <c r="AI25" s="252" t="s">
        <v>1117</v>
      </c>
      <c r="AJ25" s="145">
        <v>30</v>
      </c>
      <c r="AK25" s="726" t="s">
        <v>1002</v>
      </c>
      <c r="AL25" s="726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26"/>
      <c r="BH25" s="726"/>
      <c r="BK25" s="273" t="s">
        <v>1239</v>
      </c>
      <c r="BL25" s="210">
        <v>48.54</v>
      </c>
      <c r="BM25" s="726"/>
      <c r="BN25" s="726"/>
      <c r="BQ25" s="273" t="s">
        <v>1067</v>
      </c>
      <c r="BR25" s="210">
        <v>50.15</v>
      </c>
      <c r="BS25" s="726" t="s">
        <v>1262</v>
      </c>
      <c r="BT25" s="726"/>
      <c r="BW25" s="273" t="s">
        <v>1067</v>
      </c>
      <c r="BX25" s="210">
        <v>48.54</v>
      </c>
      <c r="BY25" s="726"/>
      <c r="BZ25" s="726"/>
      <c r="CC25" s="273" t="s">
        <v>1067</v>
      </c>
      <c r="CD25" s="210">
        <v>142.91</v>
      </c>
      <c r="CE25" s="726"/>
      <c r="CF25" s="726"/>
      <c r="CI25" s="273" t="s">
        <v>1329</v>
      </c>
      <c r="CJ25" s="210">
        <v>35.049999999999997</v>
      </c>
      <c r="CK25" s="705"/>
      <c r="CL25" s="705"/>
      <c r="CO25" s="273" t="s">
        <v>1303</v>
      </c>
      <c r="CP25" s="210">
        <v>153.41</v>
      </c>
      <c r="CQ25" s="705" t="s">
        <v>1344</v>
      </c>
      <c r="CR25" s="705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8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2405</v>
      </c>
      <c r="HY25">
        <v>46.73</v>
      </c>
      <c r="HZ25" s="1" t="s">
        <v>2287</v>
      </c>
      <c r="IA25" s="485">
        <v>-13000</v>
      </c>
      <c r="IB25" s="684" t="s">
        <v>2188</v>
      </c>
      <c r="IC25" s="684"/>
      <c r="ID25" s="352" t="s">
        <v>2282</v>
      </c>
      <c r="IE25">
        <v>32</v>
      </c>
      <c r="IF25" s="573" t="s">
        <v>2493</v>
      </c>
      <c r="IG25" s="572">
        <v>4</v>
      </c>
      <c r="IH25" t="s">
        <v>2364</v>
      </c>
      <c r="II25" s="538"/>
      <c r="IJ25" s="344" t="s">
        <v>2424</v>
      </c>
      <c r="IK25">
        <v>10</v>
      </c>
      <c r="IL25" s="573" t="s">
        <v>2493</v>
      </c>
      <c r="IM25" s="572">
        <v>4</v>
      </c>
      <c r="IN25" s="592"/>
      <c r="IO25" s="538"/>
      <c r="IP25" s="344" t="s">
        <v>2523</v>
      </c>
      <c r="IQ25" s="61">
        <v>88.51</v>
      </c>
      <c r="IR25" s="594" t="s">
        <v>2536</v>
      </c>
      <c r="IS25" s="593" t="s">
        <v>2581</v>
      </c>
      <c r="IT25" s="415"/>
      <c r="IU25" s="556"/>
      <c r="IV25" s="344" t="s">
        <v>2664</v>
      </c>
      <c r="IW25" s="61">
        <v>3.5</v>
      </c>
      <c r="IX25" s="674" t="s">
        <v>2689</v>
      </c>
      <c r="IY25" s="648">
        <v>30</v>
      </c>
    </row>
    <row r="26" spans="1:261" x14ac:dyDescent="0.2">
      <c r="A26" s="705"/>
      <c r="B26" s="705"/>
      <c r="E26" s="203" t="s">
        <v>368</v>
      </c>
      <c r="F26" s="173"/>
      <c r="G26" s="705"/>
      <c r="H26" s="705"/>
      <c r="K26" s="250" t="s">
        <v>1030</v>
      </c>
      <c r="L26" s="145">
        <f>910+40</f>
        <v>950</v>
      </c>
      <c r="M26" s="705"/>
      <c r="N26" s="705"/>
      <c r="Q26" s="250" t="s">
        <v>1038</v>
      </c>
      <c r="R26" s="145">
        <v>0</v>
      </c>
      <c r="S26" s="705"/>
      <c r="T26" s="705"/>
      <c r="W26" s="146" t="s">
        <v>1101</v>
      </c>
      <c r="X26" s="145">
        <v>110.58</v>
      </c>
      <c r="Y26" s="705"/>
      <c r="Z26" s="705"/>
      <c r="AE26" s="705"/>
      <c r="AF26" s="705"/>
      <c r="AK26" s="705"/>
      <c r="AL26" s="705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05"/>
      <c r="AX26" s="705"/>
      <c r="AY26" s="146"/>
      <c r="AZ26" s="210"/>
      <c r="BA26" s="705"/>
      <c r="BB26" s="705"/>
      <c r="BE26" s="146" t="s">
        <v>1212</v>
      </c>
      <c r="BF26" s="210">
        <f>6.5*2</f>
        <v>13</v>
      </c>
      <c r="BG26" s="705"/>
      <c r="BH26" s="705"/>
      <c r="BK26" s="273" t="s">
        <v>1212</v>
      </c>
      <c r="BL26" s="210">
        <f>6.5*2</f>
        <v>13</v>
      </c>
      <c r="BM26" s="705"/>
      <c r="BN26" s="705"/>
      <c r="BQ26" s="273" t="s">
        <v>1212</v>
      </c>
      <c r="BR26" s="210">
        <v>13</v>
      </c>
      <c r="BS26" s="705"/>
      <c r="BT26" s="705"/>
      <c r="BW26" s="273" t="s">
        <v>1212</v>
      </c>
      <c r="BX26" s="210">
        <v>13</v>
      </c>
      <c r="BY26" s="705"/>
      <c r="BZ26" s="705"/>
      <c r="CC26" s="273" t="s">
        <v>1212</v>
      </c>
      <c r="CD26" s="210">
        <v>13</v>
      </c>
      <c r="CE26" s="705"/>
      <c r="CF26" s="705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22" t="s">
        <v>1553</v>
      </c>
      <c r="DZ26" s="723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7" t="s">
        <v>1553</v>
      </c>
      <c r="ES26" s="717"/>
      <c r="ET26" s="1" t="s">
        <v>1720</v>
      </c>
      <c r="EU26" s="279">
        <v>20000</v>
      </c>
      <c r="EW26" s="718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3" t="s">
        <v>2493</v>
      </c>
      <c r="HU26" s="572">
        <v>4</v>
      </c>
      <c r="HV26" s="353" t="s">
        <v>2183</v>
      </c>
      <c r="HW26">
        <f>SUM(HY9:HY9)</f>
        <v>535</v>
      </c>
      <c r="HX26" s="344" t="s">
        <v>2343</v>
      </c>
      <c r="HY26">
        <f>32.37+27.07</f>
        <v>59.44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6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6"/>
      <c r="IP26" s="582" t="s">
        <v>2187</v>
      </c>
      <c r="IQ26" s="61">
        <v>58.4</v>
      </c>
      <c r="IR26" s="587" t="s">
        <v>2521</v>
      </c>
      <c r="IS26" s="586">
        <v>1000</v>
      </c>
      <c r="IT26" s="414"/>
      <c r="IU26" s="556"/>
      <c r="IV26" s="344" t="s">
        <v>1880</v>
      </c>
      <c r="IW26" s="61"/>
      <c r="IX26" s="550" t="s">
        <v>1110</v>
      </c>
      <c r="IY26" s="61">
        <v>30</v>
      </c>
    </row>
    <row r="27" spans="1:261" x14ac:dyDescent="0.2">
      <c r="A27" s="705"/>
      <c r="B27" s="705"/>
      <c r="F27" s="199"/>
      <c r="G27" s="705"/>
      <c r="H27" s="705"/>
      <c r="K27"/>
      <c r="M27" s="727" t="s">
        <v>514</v>
      </c>
      <c r="N27" s="727"/>
      <c r="Q27" s="250" t="s">
        <v>1031</v>
      </c>
      <c r="R27" s="145">
        <v>0</v>
      </c>
      <c r="S27" s="727" t="s">
        <v>514</v>
      </c>
      <c r="T27" s="727"/>
      <c r="W27" s="146" t="s">
        <v>1067</v>
      </c>
      <c r="X27" s="145">
        <v>60.75</v>
      </c>
      <c r="Y27" s="705"/>
      <c r="Z27" s="705"/>
      <c r="AC27" s="224" t="s">
        <v>1108</v>
      </c>
      <c r="AD27" s="224"/>
      <c r="AE27" s="727" t="s">
        <v>514</v>
      </c>
      <c r="AF27" s="727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7" t="s">
        <v>1553</v>
      </c>
      <c r="EY27" s="717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4" t="s">
        <v>2188</v>
      </c>
      <c r="HQ27" s="684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2308</v>
      </c>
      <c r="HY27">
        <v>69.569999999999993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50" t="s">
        <v>2394</v>
      </c>
      <c r="IG27" s="285">
        <v>127</v>
      </c>
      <c r="IH27" s="415" t="s">
        <v>2427</v>
      </c>
      <c r="II27" s="556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6"/>
      <c r="IP27" s="344" t="s">
        <v>2522</v>
      </c>
      <c r="IQ27" s="61">
        <v>23.42</v>
      </c>
      <c r="IR27" s="550" t="s">
        <v>2518</v>
      </c>
      <c r="IS27" s="61">
        <v>260</v>
      </c>
      <c r="IT27" s="414"/>
      <c r="IU27" s="556"/>
      <c r="IV27" s="344" t="s">
        <v>1880</v>
      </c>
      <c r="IW27" s="61"/>
      <c r="IX27" s="550" t="s">
        <v>2690</v>
      </c>
      <c r="IY27" s="632">
        <v>30</v>
      </c>
    </row>
    <row r="28" spans="1:261" x14ac:dyDescent="0.2">
      <c r="A28" s="705"/>
      <c r="B28" s="705"/>
      <c r="E28" s="198" t="s">
        <v>366</v>
      </c>
      <c r="F28" s="199"/>
      <c r="G28" s="705"/>
      <c r="H28" s="705"/>
      <c r="K28" s="146" t="s">
        <v>1029</v>
      </c>
      <c r="L28" s="145">
        <f>60</f>
        <v>60</v>
      </c>
      <c r="M28" s="727" t="s">
        <v>1004</v>
      </c>
      <c r="N28" s="727"/>
      <c r="Q28" s="250" t="s">
        <v>1089</v>
      </c>
      <c r="R28" s="210">
        <v>200</v>
      </c>
      <c r="S28" s="727" t="s">
        <v>1004</v>
      </c>
      <c r="T28" s="727"/>
      <c r="W28" s="146" t="s">
        <v>1028</v>
      </c>
      <c r="X28" s="145">
        <v>61.35</v>
      </c>
      <c r="Y28" s="727" t="s">
        <v>514</v>
      </c>
      <c r="Z28" s="727"/>
      <c r="AC28" s="224" t="s">
        <v>1104</v>
      </c>
      <c r="AD28" s="224">
        <f>53+207+63</f>
        <v>323</v>
      </c>
      <c r="AE28" s="727" t="s">
        <v>1004</v>
      </c>
      <c r="AF28" s="727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7" t="s">
        <v>1764</v>
      </c>
      <c r="FE28" s="717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SUM(HY24:HY29)</f>
        <v>271.94</v>
      </c>
      <c r="HX28" s="344" t="s">
        <v>2333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6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6"/>
      <c r="IP28" s="344" t="s">
        <v>2527</v>
      </c>
      <c r="IQ28" s="61">
        <v>61.71</v>
      </c>
      <c r="IR28" s="260" t="s">
        <v>2460</v>
      </c>
      <c r="IT28" s="415"/>
      <c r="IV28" s="344" t="s">
        <v>1880</v>
      </c>
      <c r="IW28" s="61"/>
      <c r="IX28" s="550" t="s">
        <v>2691</v>
      </c>
      <c r="IY28" s="649">
        <v>30</v>
      </c>
    </row>
    <row r="29" spans="1:261" x14ac:dyDescent="0.2">
      <c r="A29" s="727" t="s">
        <v>514</v>
      </c>
      <c r="B29" s="727"/>
      <c r="E29" s="198" t="s">
        <v>282</v>
      </c>
      <c r="F29" s="199"/>
      <c r="G29" s="727" t="s">
        <v>514</v>
      </c>
      <c r="H29" s="727"/>
      <c r="K29" s="146" t="s">
        <v>1028</v>
      </c>
      <c r="L29" s="145">
        <v>0</v>
      </c>
      <c r="M29" s="729" t="s">
        <v>93</v>
      </c>
      <c r="N29" s="729"/>
      <c r="Q29" s="250" t="s">
        <v>1066</v>
      </c>
      <c r="R29" s="145">
        <v>0</v>
      </c>
      <c r="S29" s="729" t="s">
        <v>93</v>
      </c>
      <c r="T29" s="729"/>
      <c r="W29" s="146" t="s">
        <v>1027</v>
      </c>
      <c r="X29" s="145">
        <v>64</v>
      </c>
      <c r="Y29" s="727" t="s">
        <v>1004</v>
      </c>
      <c r="Z29" s="727"/>
      <c r="AC29" s="224" t="s">
        <v>1105</v>
      </c>
      <c r="AD29" s="224">
        <f>63+46</f>
        <v>109</v>
      </c>
      <c r="AE29" s="729" t="s">
        <v>93</v>
      </c>
      <c r="AF29" s="729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7" t="s">
        <v>1553</v>
      </c>
      <c r="EM29" s="717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2692</v>
      </c>
      <c r="HW29">
        <f>SUM(HY44:HY51)</f>
        <v>1548.6</v>
      </c>
      <c r="HX29" s="344" t="s">
        <v>2331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6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6"/>
      <c r="IP29" s="344" t="s">
        <v>2532</v>
      </c>
      <c r="IQ29" s="61">
        <v>23.1</v>
      </c>
      <c r="IR29" s="577" t="s">
        <v>2497</v>
      </c>
      <c r="IS29" s="576" t="s">
        <v>2498</v>
      </c>
      <c r="IT29" s="684" t="s">
        <v>2188</v>
      </c>
      <c r="IU29" s="684"/>
      <c r="IV29" s="344" t="s">
        <v>1880</v>
      </c>
      <c r="IW29" s="61"/>
      <c r="IX29" s="638"/>
      <c r="JA29" s="632"/>
    </row>
    <row r="30" spans="1:261" x14ac:dyDescent="0.2">
      <c r="A30" s="727" t="s">
        <v>1004</v>
      </c>
      <c r="B30" s="727"/>
      <c r="E30" s="198" t="s">
        <v>378</v>
      </c>
      <c r="F30" s="199"/>
      <c r="G30" s="727" t="s">
        <v>1004</v>
      </c>
      <c r="H30" s="727"/>
      <c r="K30" s="146" t="s">
        <v>1027</v>
      </c>
      <c r="L30" s="145">
        <v>64</v>
      </c>
      <c r="M30" s="705" t="s">
        <v>391</v>
      </c>
      <c r="N30" s="705"/>
      <c r="Q30"/>
      <c r="S30" s="705" t="s">
        <v>391</v>
      </c>
      <c r="T30" s="705"/>
      <c r="W30" s="146" t="s">
        <v>1026</v>
      </c>
      <c r="X30" s="145">
        <v>100.01</v>
      </c>
      <c r="Y30" s="729" t="s">
        <v>93</v>
      </c>
      <c r="Z30" s="729"/>
      <c r="AC30" s="145" t="s">
        <v>1103</v>
      </c>
      <c r="AD30" s="145">
        <v>65</v>
      </c>
      <c r="AE30" s="705" t="s">
        <v>391</v>
      </c>
      <c r="AF30" s="705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7" t="s">
        <v>1764</v>
      </c>
      <c r="FK30" s="717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3" t="s">
        <v>2493</v>
      </c>
      <c r="IA30" s="572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6">
        <f>19.45*25</f>
        <v>486.25</v>
      </c>
      <c r="IJ30" s="344" t="s">
        <v>2472</v>
      </c>
      <c r="IK30">
        <v>34</v>
      </c>
      <c r="IL30" s="575" t="s">
        <v>2495</v>
      </c>
      <c r="IM30">
        <v>1.49</v>
      </c>
      <c r="IN30" s="414"/>
      <c r="IO30" s="556"/>
      <c r="IP30" s="344" t="s">
        <v>2607</v>
      </c>
      <c r="IQ30" s="61" t="s">
        <v>2608</v>
      </c>
      <c r="IR30" s="589"/>
      <c r="IS30" s="574"/>
      <c r="IT30" s="358" t="s">
        <v>1976</v>
      </c>
      <c r="IU30" s="293">
        <f>SUM(IW6:IW9)</f>
        <v>0</v>
      </c>
      <c r="IV30" s="632" t="s">
        <v>2515</v>
      </c>
      <c r="IW30" s="78">
        <f>2+59+11+23</f>
        <v>95</v>
      </c>
      <c r="IX30" s="632" t="s">
        <v>514</v>
      </c>
      <c r="JA30" s="632"/>
    </row>
    <row r="31" spans="1:261" ht="12.75" customHeight="1" x14ac:dyDescent="0.2">
      <c r="A31" s="729" t="s">
        <v>93</v>
      </c>
      <c r="B31" s="729"/>
      <c r="E31" s="198" t="s">
        <v>1019</v>
      </c>
      <c r="F31" s="173"/>
      <c r="G31" s="729" t="s">
        <v>93</v>
      </c>
      <c r="H31" s="729"/>
      <c r="K31" s="146" t="s">
        <v>1026</v>
      </c>
      <c r="L31" s="145">
        <v>50.01</v>
      </c>
      <c r="M31" s="730" t="s">
        <v>1013</v>
      </c>
      <c r="N31" s="730"/>
      <c r="Q31" s="146" t="s">
        <v>1068</v>
      </c>
      <c r="R31" s="145">
        <v>26</v>
      </c>
      <c r="S31" s="730" t="s">
        <v>1013</v>
      </c>
      <c r="T31" s="730"/>
      <c r="W31"/>
      <c r="Y31" s="705" t="s">
        <v>391</v>
      </c>
      <c r="Z31" s="705"/>
      <c r="AC31" s="145" t="s">
        <v>1106</v>
      </c>
      <c r="AD31" s="145">
        <v>10</v>
      </c>
      <c r="AE31" s="730" t="s">
        <v>1013</v>
      </c>
      <c r="AF31" s="730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2317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6"/>
      <c r="IJ31" s="344" t="s">
        <v>2481</v>
      </c>
      <c r="IK31">
        <f>22+32.4</f>
        <v>54.4</v>
      </c>
      <c r="IL31" s="260"/>
      <c r="IM31" s="285"/>
      <c r="IN31" s="415"/>
      <c r="IP31" s="344" t="s">
        <v>2561</v>
      </c>
      <c r="IQ31" s="61">
        <v>42.17</v>
      </c>
      <c r="IR31" s="591"/>
      <c r="IT31" s="252" t="s">
        <v>1977</v>
      </c>
      <c r="IU31" s="293">
        <f>SUM(IW13:IW14)</f>
        <v>0</v>
      </c>
      <c r="IV31" s="9" t="s">
        <v>2214</v>
      </c>
      <c r="IW31" s="581">
        <f>70+106</f>
        <v>176</v>
      </c>
      <c r="IX31" s="632" t="s">
        <v>93</v>
      </c>
      <c r="JA31" s="632"/>
    </row>
    <row r="32" spans="1:261" x14ac:dyDescent="0.2">
      <c r="A32" s="705" t="s">
        <v>391</v>
      </c>
      <c r="B32" s="705"/>
      <c r="E32" s="173"/>
      <c r="F32" s="173"/>
      <c r="G32" s="705" t="s">
        <v>391</v>
      </c>
      <c r="H32" s="705"/>
      <c r="K32"/>
      <c r="M32" s="726" t="s">
        <v>243</v>
      </c>
      <c r="N32" s="726"/>
      <c r="Q32" s="146" t="s">
        <v>1067</v>
      </c>
      <c r="R32" s="145">
        <v>55</v>
      </c>
      <c r="S32" s="726" t="s">
        <v>243</v>
      </c>
      <c r="T32" s="726"/>
      <c r="W32" s="249" t="s">
        <v>1088</v>
      </c>
      <c r="X32" s="249">
        <v>0</v>
      </c>
      <c r="Y32" s="730" t="s">
        <v>1013</v>
      </c>
      <c r="Z32" s="730"/>
      <c r="AE32" s="726" t="s">
        <v>243</v>
      </c>
      <c r="AF32" s="726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14" t="s">
        <v>1455</v>
      </c>
      <c r="DP32" s="714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B32" s="219" t="s">
        <v>2692</v>
      </c>
      <c r="IC32" s="680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6"/>
      <c r="IJ32" s="344" t="s">
        <v>2482</v>
      </c>
      <c r="IK32">
        <f>10.1+8+57.3+1.6</f>
        <v>77</v>
      </c>
      <c r="IL32" t="s">
        <v>514</v>
      </c>
      <c r="IN32" s="684" t="s">
        <v>2188</v>
      </c>
      <c r="IO32" s="684"/>
      <c r="IP32" s="344" t="s">
        <v>2596</v>
      </c>
      <c r="IQ32" s="61">
        <v>6.5</v>
      </c>
      <c r="IR32" t="s">
        <v>514</v>
      </c>
      <c r="IT32" s="369" t="s">
        <v>1409</v>
      </c>
      <c r="IU32" s="632">
        <f>SUM(IW10:IW10)</f>
        <v>378.81</v>
      </c>
      <c r="IV32" s="425">
        <v>28.62</v>
      </c>
      <c r="IW32" s="581" t="s">
        <v>2661</v>
      </c>
      <c r="IX32" s="632" t="s">
        <v>2418</v>
      </c>
    </row>
    <row r="33" spans="1:258" x14ac:dyDescent="0.2">
      <c r="A33" s="730" t="s">
        <v>1013</v>
      </c>
      <c r="B33" s="730"/>
      <c r="C33" s="3"/>
      <c r="D33" s="3"/>
      <c r="E33" s="253"/>
      <c r="F33" s="253"/>
      <c r="G33" s="730" t="s">
        <v>1013</v>
      </c>
      <c r="H33" s="730"/>
      <c r="K33" s="249" t="s">
        <v>1033</v>
      </c>
      <c r="L33" s="249"/>
      <c r="M33" s="728" t="s">
        <v>1050</v>
      </c>
      <c r="N33" s="728"/>
      <c r="Q33" s="146" t="s">
        <v>1028</v>
      </c>
      <c r="R33" s="145">
        <v>77.239999999999995</v>
      </c>
      <c r="S33" s="728" t="s">
        <v>1050</v>
      </c>
      <c r="T33" s="728"/>
      <c r="Y33" s="726" t="s">
        <v>243</v>
      </c>
      <c r="Z33" s="726"/>
      <c r="AC33" s="202" t="s">
        <v>1024</v>
      </c>
      <c r="AD33" s="145">
        <v>350</v>
      </c>
      <c r="AE33" s="728" t="s">
        <v>1050</v>
      </c>
      <c r="AF33" s="728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4" t="s">
        <v>1428</v>
      </c>
      <c r="DB33" s="725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6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T33" s="353" t="s">
        <v>2183</v>
      </c>
      <c r="IU33" s="632">
        <f>SUM(IW11:IW12)</f>
        <v>0</v>
      </c>
      <c r="IV33" s="399" t="s">
        <v>1428</v>
      </c>
      <c r="IW33" s="421">
        <f>IS19+IU37-IY18</f>
        <v>30</v>
      </c>
      <c r="IX33" s="632" t="s">
        <v>1691</v>
      </c>
    </row>
    <row r="34" spans="1:258" x14ac:dyDescent="0.2">
      <c r="A34" s="726" t="s">
        <v>243</v>
      </c>
      <c r="B34" s="726"/>
      <c r="E34" s="173"/>
      <c r="F34" s="173"/>
      <c r="G34" s="726" t="s">
        <v>243</v>
      </c>
      <c r="H34" s="726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8" t="s">
        <v>1050</v>
      </c>
      <c r="Z34" s="728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6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1">
        <f>102+308+94+155</f>
        <v>659</v>
      </c>
      <c r="IR34" t="s">
        <v>2418</v>
      </c>
      <c r="IT34" s="352" t="s">
        <v>2184</v>
      </c>
      <c r="IU34" s="424">
        <f>SUM(IW15:IW22)</f>
        <v>135.62</v>
      </c>
      <c r="IV34" s="422">
        <v>5</v>
      </c>
      <c r="IW34" s="590" t="s">
        <v>2606</v>
      </c>
      <c r="IX34" s="632" t="s">
        <v>1050</v>
      </c>
    </row>
    <row r="35" spans="1:258" ht="14.25" customHeight="1" x14ac:dyDescent="0.25">
      <c r="A35" s="732" t="s">
        <v>348</v>
      </c>
      <c r="B35" s="732"/>
      <c r="E35" s="190" t="s">
        <v>374</v>
      </c>
      <c r="F35" s="173"/>
      <c r="G35" s="732" t="s">
        <v>348</v>
      </c>
      <c r="H35" s="732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422">
        <v>140</v>
      </c>
      <c r="HY35" s="347" t="s">
        <v>2340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6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1"/>
      <c r="IR35" t="s">
        <v>1691</v>
      </c>
      <c r="IT35" s="344" t="s">
        <v>2182</v>
      </c>
      <c r="IU35" s="632">
        <f>SUM(IW23:IW29)</f>
        <v>3.5</v>
      </c>
      <c r="IV35" s="422">
        <v>10</v>
      </c>
      <c r="IW35" s="590" t="s">
        <v>2662</v>
      </c>
    </row>
    <row r="36" spans="1:258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40"/>
      <c r="ID36" t="s">
        <v>2215</v>
      </c>
      <c r="IE36" s="6">
        <v>52</v>
      </c>
      <c r="IH36" s="414"/>
      <c r="II36" s="556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422"/>
      <c r="IW36" s="590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19" t="s">
        <v>1553</v>
      </c>
      <c r="DT37" s="720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2339</v>
      </c>
      <c r="HZ37" s="260" t="s">
        <v>2280</v>
      </c>
      <c r="IA37" s="285"/>
      <c r="IC37" s="540"/>
      <c r="ID37" s="9" t="s">
        <v>2214</v>
      </c>
      <c r="IE37" s="9">
        <v>453</v>
      </c>
      <c r="IH37" s="414"/>
      <c r="II37" s="556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90" t="s">
        <v>2516</v>
      </c>
      <c r="IT37" s="634" t="s">
        <v>2609</v>
      </c>
      <c r="IU37" s="360">
        <v>100</v>
      </c>
      <c r="IV37" s="422"/>
      <c r="IW37" s="590"/>
    </row>
    <row r="38" spans="1:258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2309</v>
      </c>
      <c r="HZ38" s="413" t="s">
        <v>2281</v>
      </c>
      <c r="IA38" s="486">
        <v>21.35</v>
      </c>
      <c r="IC38" s="541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90" t="s">
        <v>2506</v>
      </c>
      <c r="IV38" s="360"/>
      <c r="IW38" s="590"/>
    </row>
    <row r="39" spans="1:258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2335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90" t="s">
        <v>2507</v>
      </c>
      <c r="IV39" s="550" t="s">
        <v>2660</v>
      </c>
      <c r="IW39" s="580">
        <v>23.08</v>
      </c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14" t="s">
        <v>1455</v>
      </c>
      <c r="DJ40" s="714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2334</v>
      </c>
      <c r="ID40" s="422">
        <v>70</v>
      </c>
      <c r="IE40" s="347" t="s">
        <v>2244</v>
      </c>
      <c r="IH40" s="684" t="s">
        <v>2188</v>
      </c>
      <c r="II40" s="684"/>
      <c r="IJ40" s="422">
        <v>20</v>
      </c>
      <c r="IK40" s="347" t="s">
        <v>2444</v>
      </c>
      <c r="IN40" s="347" t="s">
        <v>2588</v>
      </c>
      <c r="IO40" s="360">
        <f>100+400+100+100</f>
        <v>700</v>
      </c>
      <c r="IP40" s="422">
        <v>6</v>
      </c>
      <c r="IQ40" s="590" t="s">
        <v>2244</v>
      </c>
      <c r="IU40" s="540"/>
      <c r="IV40" s="550" t="s">
        <v>2682</v>
      </c>
      <c r="IW40" s="580" t="s">
        <v>2683</v>
      </c>
    </row>
    <row r="41" spans="1:258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11" t="s">
        <v>2307</v>
      </c>
      <c r="HY41" s="351">
        <v>98.89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90" t="s">
        <v>2511</v>
      </c>
      <c r="IU41" s="540"/>
      <c r="IV41" s="550"/>
      <c r="IW41" s="580"/>
    </row>
    <row r="42" spans="1:258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679" t="s">
        <v>2354</v>
      </c>
      <c r="HY42" s="679"/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90" t="s">
        <v>2583</v>
      </c>
      <c r="IU42" s="541"/>
      <c r="IV42" s="411"/>
      <c r="IW42" s="61"/>
    </row>
    <row r="43" spans="1:258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79"/>
      <c r="HY43" s="679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40"/>
      <c r="IP43" s="422">
        <v>12</v>
      </c>
      <c r="IQ43" s="590" t="s">
        <v>2524</v>
      </c>
      <c r="IV43" s="413"/>
      <c r="IW43" s="580"/>
    </row>
    <row r="44" spans="1:258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219" t="s">
        <v>2348</v>
      </c>
      <c r="HY44">
        <f>40+150</f>
        <v>190</v>
      </c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40"/>
      <c r="IP44" s="422">
        <v>20</v>
      </c>
      <c r="IQ44" s="590" t="s">
        <v>2244</v>
      </c>
      <c r="IV44" s="413"/>
      <c r="IW44" s="580"/>
    </row>
    <row r="45" spans="1:258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681" t="s">
        <v>2315</v>
      </c>
      <c r="HY45" s="351">
        <v>150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1"/>
      <c r="IP45" s="360">
        <v>10</v>
      </c>
      <c r="IQ45" s="590" t="s">
        <v>2534</v>
      </c>
      <c r="IV45" s="413"/>
      <c r="IW45" s="580"/>
    </row>
    <row r="46" spans="1:258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82" t="s">
        <v>2344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90" t="s">
        <v>2576</v>
      </c>
      <c r="IV46" s="413"/>
      <c r="IW46" s="580"/>
    </row>
    <row r="47" spans="1:258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13" t="s">
        <v>2110</v>
      </c>
      <c r="GZ47" s="367" t="s">
        <v>2128</v>
      </c>
      <c r="HA47" s="6">
        <v>6</v>
      </c>
      <c r="HX47" s="681" t="s">
        <v>2314</v>
      </c>
      <c r="HY47" s="423">
        <v>14.4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90" t="s">
        <v>2582</v>
      </c>
      <c r="IV47" s="640"/>
      <c r="IW47" s="642"/>
    </row>
    <row r="48" spans="1:258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13"/>
      <c r="GZ48" t="s">
        <v>2104</v>
      </c>
      <c r="HA48" s="215">
        <v>670.00099999999998</v>
      </c>
      <c r="HX48" s="682" t="s">
        <v>2346</v>
      </c>
      <c r="HY48">
        <v>17.88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50" t="s">
        <v>2508</v>
      </c>
      <c r="IQ48" s="580">
        <f>757-3.8</f>
        <v>753.2</v>
      </c>
      <c r="IV48" s="207"/>
      <c r="IW48" s="364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13"/>
      <c r="GZ49" s="215" t="s">
        <v>2135</v>
      </c>
      <c r="HX49" s="682" t="s">
        <v>2347</v>
      </c>
      <c r="HY49">
        <v>23.86</v>
      </c>
      <c r="ID49" s="413" t="s">
        <v>2400</v>
      </c>
      <c r="IE49">
        <v>26.8</v>
      </c>
      <c r="IJ49" s="422">
        <v>10</v>
      </c>
      <c r="IK49" s="63" t="s">
        <v>2440</v>
      </c>
      <c r="IP49" s="550" t="s">
        <v>2494</v>
      </c>
      <c r="IQ49" s="580">
        <v>92.8</v>
      </c>
      <c r="IV49" s="207"/>
      <c r="IW49" s="207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13"/>
      <c r="GZ50" t="s">
        <v>2103</v>
      </c>
      <c r="HA50" s="6">
        <v>50.000999999999998</v>
      </c>
      <c r="HF50" s="1"/>
      <c r="HX50" s="682" t="s">
        <v>2345</v>
      </c>
      <c r="HY50">
        <v>19.89</v>
      </c>
      <c r="IJ50" s="550" t="s">
        <v>2436</v>
      </c>
      <c r="IK50" s="561">
        <f>161+14</f>
        <v>175</v>
      </c>
      <c r="IP50" s="550" t="s">
        <v>2500</v>
      </c>
      <c r="IQ50" s="580">
        <f>220.8+7.27*2</f>
        <v>235.34</v>
      </c>
      <c r="IV50" s="411"/>
      <c r="IW50" s="20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82" t="s">
        <v>2332</v>
      </c>
      <c r="HY51">
        <f>30.9+469.82+100.14+34.91</f>
        <v>635.77</v>
      </c>
      <c r="ID51" s="537" t="s">
        <v>2354</v>
      </c>
      <c r="IE51" s="537"/>
      <c r="II51" s="540"/>
      <c r="IJ51" s="550" t="s">
        <v>2458</v>
      </c>
      <c r="IK51" s="561">
        <v>87.8</v>
      </c>
      <c r="IP51" s="411" t="s">
        <v>2525</v>
      </c>
      <c r="IQ51" s="580">
        <v>84.9</v>
      </c>
      <c r="IV51" s="207"/>
      <c r="IW51" s="349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145" t="s">
        <v>2303</v>
      </c>
      <c r="HY52" s="145">
        <v>7329.5</v>
      </c>
      <c r="ID52" s="219" t="s">
        <v>2353</v>
      </c>
      <c r="IE52" s="145">
        <f>30+139.5</f>
        <v>169.5</v>
      </c>
      <c r="II52" s="540"/>
      <c r="IJ52" s="550" t="s">
        <v>2468</v>
      </c>
      <c r="IK52" s="561">
        <f>40.6+11.5</f>
        <v>52.1</v>
      </c>
      <c r="IP52" s="413" t="s">
        <v>2526</v>
      </c>
      <c r="IQ52" s="580">
        <v>105.8</v>
      </c>
      <c r="IV52" s="413"/>
      <c r="IW52" s="641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s="219" t="s">
        <v>2367</v>
      </c>
      <c r="IE53">
        <v>15.32</v>
      </c>
      <c r="II53" s="541"/>
      <c r="IJ53" s="550" t="s">
        <v>2485</v>
      </c>
      <c r="IK53" s="561">
        <v>10.49</v>
      </c>
      <c r="IP53" s="413" t="s">
        <v>2529</v>
      </c>
      <c r="IQ53" s="580"/>
      <c r="IV53" s="413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81" t="s">
        <v>2368</v>
      </c>
      <c r="IE54" s="351">
        <v>67.61</v>
      </c>
      <c r="IJ54" s="550" t="s">
        <v>2332</v>
      </c>
      <c r="IK54" s="561">
        <v>135.09</v>
      </c>
      <c r="IP54" s="413" t="s">
        <v>2520</v>
      </c>
      <c r="IQ54" s="580">
        <v>47.05</v>
      </c>
      <c r="IV54" s="413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9">
        <v>-25.98</v>
      </c>
      <c r="IJ55" s="537" t="s">
        <v>2466</v>
      </c>
      <c r="IK55" s="537"/>
      <c r="IP55" s="413" t="s">
        <v>2584</v>
      </c>
      <c r="IQ55" s="642">
        <v>22.2</v>
      </c>
      <c r="IV55" s="413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682" t="s">
        <v>2396</v>
      </c>
      <c r="IE56">
        <v>8.8000000000000007</v>
      </c>
      <c r="IJ56" s="413" t="s">
        <v>2414</v>
      </c>
      <c r="IK56">
        <v>150</v>
      </c>
      <c r="IP56" s="640" t="s">
        <v>2587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43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1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">
      <c r="DG63" s="223" t="s">
        <v>1183</v>
      </c>
      <c r="DH63" s="309">
        <v>1500</v>
      </c>
      <c r="IP63" s="413"/>
      <c r="IY63" s="403"/>
    </row>
    <row r="64" spans="41:259" x14ac:dyDescent="0.2">
      <c r="IJ64" s="411"/>
      <c r="IK64" s="351"/>
      <c r="IP64" s="413"/>
    </row>
    <row r="65" spans="205:253" x14ac:dyDescent="0.2">
      <c r="IK65" s="539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2023-02-01T10:50:08Z</dcterms:modified>
</cp:coreProperties>
</file>