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6120" yWindow="1980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JO27" i="32" l="1"/>
  <c r="JM28" i="32"/>
  <c r="JM30" i="32"/>
  <c r="JO22" i="32"/>
  <c r="JO21" i="32"/>
  <c r="JO24" i="32"/>
  <c r="JM36" i="32" l="1"/>
  <c r="JN42" i="32"/>
  <c r="JO33" i="32" l="1"/>
  <c r="JO47" i="32" l="1"/>
  <c r="JQ7" i="32" l="1"/>
  <c r="JO16" i="32" l="1"/>
  <c r="JO15" i="32" s="1"/>
  <c r="JC17" i="32"/>
  <c r="JC16" i="32" s="1"/>
  <c r="JI12" i="32" l="1"/>
  <c r="JO35" i="32"/>
  <c r="JO5" i="32" s="1"/>
  <c r="JM34" i="32"/>
  <c r="JM33" i="32"/>
  <c r="JM32" i="32"/>
  <c r="JM31" i="32"/>
  <c r="JM29" i="32"/>
  <c r="JQ15" i="32"/>
  <c r="JQ3" i="32"/>
  <c r="JQ2" i="32" s="1"/>
  <c r="JM2" i="32"/>
  <c r="JI28" i="32"/>
  <c r="JI24" i="32"/>
  <c r="JI33" i="32" l="1"/>
  <c r="JI27" i="32"/>
  <c r="HK30" i="32" l="1"/>
  <c r="IO39" i="32"/>
  <c r="IU29" i="32"/>
  <c r="P40" i="34" l="1"/>
  <c r="O20" i="34"/>
  <c r="O40" i="34" s="1"/>
  <c r="O44" i="34" l="1"/>
  <c r="JK15" i="32"/>
  <c r="JG15" i="32" l="1"/>
  <c r="B32" i="42"/>
  <c r="E27" i="42" s="1"/>
  <c r="D27" i="42" l="1"/>
  <c r="F27" i="42"/>
  <c r="JI31" i="32" l="1"/>
  <c r="JI22" i="32" l="1"/>
  <c r="JG12" i="32" l="1"/>
  <c r="JI11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6" i="32" l="1"/>
  <c r="JA19" i="32" l="1"/>
  <c r="JA9" i="32" l="1"/>
  <c r="IU23" i="32" l="1"/>
  <c r="JA35" i="32"/>
  <c r="E29" i="42" l="1"/>
  <c r="F29" i="42" l="1"/>
  <c r="D29" i="42"/>
  <c r="JC23" i="32"/>
  <c r="JC13" i="32" l="1"/>
  <c r="JC30" i="32" l="1"/>
  <c r="JA41" i="32" s="1"/>
  <c r="IU5" i="32" l="1"/>
  <c r="JA6" i="32"/>
  <c r="JA2" i="32" s="1"/>
  <c r="JC11" i="32" l="1"/>
  <c r="JA38" i="32" s="1"/>
  <c r="C28" i="41" l="1"/>
  <c r="JC22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8" i="41"/>
  <c r="N39" i="41" s="1"/>
  <c r="C33" i="41"/>
  <c r="K16" i="41"/>
  <c r="D5" i="41"/>
  <c r="DH58" i="32"/>
  <c r="DH54" i="32"/>
  <c r="IK52" i="32"/>
  <c r="IE57" i="32"/>
  <c r="IE52" i="32"/>
  <c r="IC33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7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M16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30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<sst xmlns="http://schemas.openxmlformats.org/spreadsheetml/2006/main" count="7027" uniqueCount="2822">
  <si>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</si>
  <si>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</si>
  <si>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</si>
  <si>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</si>
  <si>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</si>
  <si>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</si>
  <si>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</si>
  <si>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</si>
  <si>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</si>
  <si>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</si>
  <si>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</si>
  <si>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</si>
  <si>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</si>
  <si>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</si>
  <si>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</si>
  <si>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</si>
  <si>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</si>
  <si>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</si>
  <si>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</si>
  <si>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</si>
  <si>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</si>
  <si>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</si>
  <si>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</si>
  <si>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</si>
  <si>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</si>
  <si>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</si>
  <si>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</si>
  <si>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</si>
  <si>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</si>
  <si>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</si>
  <si>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</si>
  <si>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</si>
  <si>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</si>
  <si>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</si>
  <si>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</si>
  <si>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</si>
  <si>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</si>
  <si>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</si>
  <si>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</si>
  <si>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</si>
  <si>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</si>
  <si>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</si>
  <si>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</si>
  <si>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</si>
  <si>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</si>
  <si>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</si>
  <si>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</si>
  <si>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</si>
  <si>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</si>
  <si>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</si>
  <si>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</si>
  <si>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</si>
  <si>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</si>
  <si>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</si>
  <si>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</si>
  <si>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</si>
  <si>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</si>
  <si>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</si>
  <si>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</si>
  <si>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</si>
  <si>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</si>
  <si>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</si>
  <si>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</si>
  <si>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</si>
  <si>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</si>
  <si>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</si>
  <si>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</si>
  <si>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</si>
  <si>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</si>
  <si>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</si>
  <si>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</si>
  <si>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</si>
  <si>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</si>
  <si>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</si>
  <si>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</si>
  <si>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</si>
  <si>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</si>
  <si>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</si>
  <si>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</si>
  <si>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</si>
  <si>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</si>
  <si>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</si>
  <si>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</si>
  <si>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</si>
  <si>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</si>
  <si>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</si>
  <si>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</si>
  <si>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</si>
  <si>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</si>
  <si>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</si>
  <si>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</si>
  <si>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</si>
  <si>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</si>
  <si>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</si>
  <si>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</si>
  <si>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</si>
  <si>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</si>
  <si>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</si>
  <si>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</si>
  <si>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</si>
  <si>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</si>
  <si>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</si>
  <si>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</si>
  <si>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</si>
  <si>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</si>
  <si>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</si>
  <si>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</si>
  <si>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</si>
  <si>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</si>
  <si>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</si>
  <si>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</si>
  <si>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</si>
  <si>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</si>
  <si>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</si>
  <si>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</si>
  <si>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</si>
  <si>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</si>
  <si>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</si>
  <si>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</si>
  <si>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</si>
  <si>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</si>
  <si>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</si>
  <si>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</si>
  <si>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</si>
  <si>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</si>
  <si>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</si>
  <si>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</si>
  <si>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</si>
  <si>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</si>
  <si>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</si>
  <si>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</si>
  <si>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</si>
  <si>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</si>
  <si>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</si>
  <si>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</si>
  <si>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</si>
  <si>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</si>
  <si>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</si>
  <si>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</si>
  <si>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</si>
  <si>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</si>
  <si>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</si>
  <si>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</si>
  <si>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</si>
  <si>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</si>
  <si>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</si>
  <si>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</si>
  <si>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</si>
  <si>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</si>
  <si>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</si>
  <si>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</si>
  <si>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</si>
  <si>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</si>
  <si>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</si>
  <si>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</si>
  <si>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</si>
  <si>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</si>
  <si>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</si>
  <si>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</si>
  <si>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</si>
  <si>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</si>
  <si>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</si>
  <si>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</si>
  <si>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</si>
  <si>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</si>
  <si>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</si>
  <si>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</si>
  <si>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</si>
  <si>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</si>
  <si>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</si>
  <si>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</si>
  <si>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</si>
  <si>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</si>
  <si>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</si>
  <si>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</si>
  <si>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</si>
  <si>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</si>
  <si>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</si>
  <si>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</si>
  <si>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</si>
  <si>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</si>
  <si>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</si>
  <si>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</si>
  <si>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</si>
  <si>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</si>
  <si>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</si>
  <si>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</si>
  <si>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</si>
  <si>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</si>
  <si>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</si>
  <si>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</si>
  <si>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</si>
  <si>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</si>
  <si>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</si>
  <si>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</si>
  <si>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</si>
  <si>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</si>
  <si>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</si>
  <si>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</si>
  <si>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</si>
  <si>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</si>
  <si>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</si>
  <si>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</si>
  <si>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</si>
  <si>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</si>
  <si>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</si>
  <si>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</si>
  <si>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</si>
  <si>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</si>
  <si>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</si>
  <si>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</si>
  <si>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</si>
  <si>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</si>
  <si>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</si>
  <si>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</si>
  <si>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</si>
  <si>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</si>
  <si>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</si>
  <si>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</si>
  <si>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</si>
  <si>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</si>
  <si>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</si>
  <si>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</si>
  <si>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</si>
  <si>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</si>
  <si>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</si>
  <si>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</si>
  <si>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</si>
  <si>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</si>
  <si>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</si>
  <si>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</si>
  <si>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</si>
  <si>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</si>
  <si>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</si>
  <si>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</si>
  <si>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</si>
  <si>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</si>
  <si>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</si>
  <si>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</si>
  <si>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</si>
  <si>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</si>
  <si>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</si>
  <si>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</si>
  <si>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</si>
  <si>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</si>
  <si>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</si>
  <si>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</si>
  <si>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</si>
  <si>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</si>
  <si>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</si>
  <si>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</si>
  <si>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</si>
  <si>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</si>
  <si>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</si>
  <si>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</si>
  <si>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</si>
  <si>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</si>
  <si>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</si>
  <si>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</si>
  <si>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</si>
  <si>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</si>
  <si>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</si>
  <si>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</si>
  <si>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</si>
  <si>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</si>
  <si>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</si>
  <si>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</si>
  <si>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</si>
  <si>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</si>
  <si>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</si>
  <si>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</si>
  <si>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</si>
  <si>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</si>
  <si>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</si>
  <si>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</si>
  <si>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</si>
  <si>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</si>
  <si>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</si>
  <si>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</si>
  <si>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</si>
  <si>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</si>
  <si>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</si>
  <si>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</si>
  <si>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</si>
  <si>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</si>
  <si>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</si>
  <si>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</si>
  <si>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</si>
  <si>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</si>
  <si>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</si>
  <si>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</si>
  <si>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</si>
  <si>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</si>
  <si>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</si>
  <si>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</si>
  <si>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</si>
  <si>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</si>
  <si>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</si>
  <si>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</si>
  <si>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</si>
  <si>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</si>
  <si>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</si>
  <si>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</si>
  <si>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</si>
  <si>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</si>
  <si>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</si>
  <si>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</si>
  <si>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</si>
  <si>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</si>
  <si>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</si>
  <si>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</si>
  <si>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</si>
  <si>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</si>
  <si>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</si>
  <si>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</si>
  <si>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</si>
  <si>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</si>
  <si>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</si>
  <si>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</si>
  <si>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</si>
  <si>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</si>
  <si>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</si>
  <si>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</si>
  <si>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</si>
  <si>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</si>
  <si>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</si>
  <si>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</si>
  <si>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</si>
  <si>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</si>
  <si>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</si>
  <si>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</si>
  <si>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</si>
  <si>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</si>
  <si>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</si>
  <si>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</si>
  <si>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</si>
  <si>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</si>
  <si>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</si>
  <si>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</si>
  <si>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</si>
  <si>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</si>
  <si>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</si>
  <si>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</si>
  <si>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</si>
  <si>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</si>
  <si>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</si>
  <si>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</si>
  <si>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</si>
  <si>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</si>
  <si>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</si>
  <si>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</si>
  <si>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</si>
  <si>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</si>
  <si>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</si>
  <si>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</si>
  <si>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</si>
  <si>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</si>
  <si>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</si>
  <si>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</si>
  <si>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</si>
  <si>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</si>
  <si>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</si>
  <si>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</si>
  <si>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</si>
  <si>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</si>
  <si>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</si>
  <si>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</si>
  <si>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</si>
  <si>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</si>
  <si>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</si>
  <si>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</si>
  <si>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</si>
  <si>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</si>
  <si>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</si>
  <si>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</si>
  <si>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</si>
  <si>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</si>
  <si>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</si>
  <si>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</si>
  <si>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</si>
  <si>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</si>
  <si>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</si>
  <si>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</si>
  <si>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</si>
  <si>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</si>
  <si>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</si>
  <si>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</si>
  <si>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</si>
  <si>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</si>
  <si>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</si>
  <si>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</si>
  <si>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</si>
  <si>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</si>
  <si>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</si>
  <si>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</si>
  <si>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</si>
  <si>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</si>
  <si>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</si>
  <si>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</si>
  <si>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</si>
  <si>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</si>
  <si>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</si>
  <si>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</si>
  <si>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</si>
  <si>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</si>
  <si>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</si>
  <si>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</si>
  <si>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</si>
  <si>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</si>
  <si>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</si>
  <si>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</si>
  <si>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</si>
  <si>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</si>
  <si>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</si>
  <si>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</si>
  <si>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</si>
  <si>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</si>
  <si>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</si>
  <si>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</si>
  <si>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</si>
  <si>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</si>
  <si>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</si>
  <si>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</si>
  <si>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</si>
  <si>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</si>
  <si>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</si>
  <si>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</si>
  <si>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</si>
  <si>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</si>
  <si>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</si>
  <si>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</si>
  <si>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</si>
  <si>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</si>
  <si>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</si>
  <si>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</si>
  <si>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</si>
  <si>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</si>
  <si>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</si>
  <si>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</si>
  <si>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</si>
  <si>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</si>
  <si>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</si>
  <si>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</si>
  <si>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</si>
  <si>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</si>
  <si>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</si>
  <si>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</si>
  <si>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</si>
  <si>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</si>
  <si>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</si>
  <si>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</si>
  <si>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</si>
  <si>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</si>
  <si>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</si>
  <si>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</si>
  <si>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</si>
  <si>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</si>
  <si>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</si>
  <si>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</si>
  <si>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</si>
  <si>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</si>
  <si>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</si>
  <si>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</si>
  <si>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</si>
  <si>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</si>
  <si>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</si>
  <si>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</si>
  <si>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</si>
  <si>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</si>
  <si>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</si>
  <si>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</si>
  <si>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</si>
  <si>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</si>
  <si>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</si>
  <si>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</si>
  <si>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</si>
  <si>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</si>
  <si>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</si>
  <si>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</si>
  <si>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</si>
  <si>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</si>
  <si>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</si>
  <si>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</si>
  <si>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</si>
  <si>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</si>
  <si>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</si>
  <si>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</si>
  <si>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</si>
  <si>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</si>
  <si>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</si>
  <si>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</si>
  <si>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</si>
  <si>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</si>
  <si>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</si>
  <si>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</si>
  <si>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</si>
  <si>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</si>
  <si>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</si>
  <si>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</si>
  <si>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</si>
  <si>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</si>
  <si>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</si>
  <si>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</si>
  <si>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</si>
  <si>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</si>
  <si>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</si>
  <si>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</si>
  <si>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</si>
  <si>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</si>
  <si>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</si>
  <si>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</si>
  <si>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</si>
  <si>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</si>
  <si>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</si>
  <si>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</si>
  <si>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</si>
  <si>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</si>
  <si>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</si>
  <si>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</si>
  <si>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</si>
  <si>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</si>
  <si>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</si>
  <si>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</si>
  <si>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</si>
  <si>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</si>
  <si>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</si>
  <si>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</si>
  <si>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</si>
  <si>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</si>
  <si>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</si>
  <si>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</si>
  <si>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</si>
  <si>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</si>
  <si>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</si>
  <si>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</si>
  <si>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</si>
  <si>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</si>
  <si>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</si>
  <si>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</si>
  <si>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</si>
  <si>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</si>
  <si>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</si>
  <si>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</si>
  <si>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</si>
  <si>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</si>
  <si>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</si>
  <si>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</si>
  <si>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</si>
  <si>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</si>
  <si>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</si>
  <si>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</si>
  <si>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</si>
  <si>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</si>
  <si>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</si>
  <si>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</si>
  <si>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</si>
  <si>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</si>
  <si>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</si>
  <si>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</si>
  <si>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</si>
  <si>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</si>
  <si>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</si>
  <si>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</si>
  <si>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</si>
  <si>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</si>
  <si>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</si>
  <si>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</si>
  <si>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</si>
  <si>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</si>
  <si>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</si>
  <si>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</si>
  <si>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</si>
  <si>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</si>
  <si>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</si>
  <si>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</si>
  <si>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</si>
  <si>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</si>
  <si>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</si>
  <si>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</si>
  <si>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</si>
  <si>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</si>
  <si>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</si>
  <si>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</si>
  <si>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</si>
  <si>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</si>
  <si>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</si>
  <si>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</si>
  <si>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</si>
  <si>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</si>
  <si>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</si>
  <si>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</si>
  <si>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</si>
  <si>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</si>
  <si>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</si>
  <si>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</si>
  <si>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</si>
  <si>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</si>
  <si>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</si>
  <si>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</si>
  <si>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</si>
  <si>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</si>
  <si>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</si>
  <si>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</si>
  <si>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</si>
  <si>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</si>
  <si>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</si>
  <si>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</si>
  <si>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</si>
  <si>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</si>
  <si>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</si>
  <si>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</si>
  <si>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</si>
  <si>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</si>
  <si>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</si>
  <si>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</si>
  <si>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</si>
  <si>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</si>
  <si>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</si>
  <si>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</si>
  <si>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</si>
  <si>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</si>
  <si>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</si>
  <si>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</si>
  <si>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</si>
  <si>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</si>
  <si>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</si>
  <si>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</si>
  <si>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</si>
  <si>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</si>
  <si>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</si>
  <si>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</si>
  <si>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</si>
  <si>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</si>
  <si>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</si>
  <si>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</si>
  <si>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</si>
  <si>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</si>
  <si>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</si>
  <si>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</si>
  <si>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</si>
  <si>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</si>
  <si>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</si>
  <si>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</si>
  <si>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</si>
  <si>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</si>
  <si>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</si>
  <si>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</si>
  <si>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</si>
  <si>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</si>
  <si>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</si>
  <si>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</si>
  <si>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</si>
  <si>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</si>
  <si>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</si>
  <si>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</si>
  <si>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</si>
  <si>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</si>
  <si>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</si>
  <si>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</si>
  <si>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</si>
  <si>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</si>
  <si>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</si>
  <si>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</si>
  <si>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</si>
  <si>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</si>
  <si>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</si>
  <si>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</si>
  <si>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</si>
  <si>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</si>
  <si>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</si>
  <si>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</si>
  <si>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</si>
  <si>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</si>
  <si>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</si>
  <si>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</si>
  <si>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</si>
  <si>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</si>
  <si>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</si>
  <si>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</si>
  <si>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</si>
  <si>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</si>
  <si>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</si>
  <si>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</si>
  <si>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</si>
  <si>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</si>
  <si>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</si>
  <si>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</si>
  <si>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</si>
  <si>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</si>
  <si>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</si>
  <si>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</si>
  <si>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</si>
  <si>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</si>
  <si>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</si>
  <si>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</si>
  <si>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</si>
  <si>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</si>
  <si>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</si>
  <si>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</si>
  <si>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</si>
  <si>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</si>
  <si>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</si>
  <si>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</si>
  <si>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</si>
  <si>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</si>
  <si>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</si>
  <si>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</si>
  <si>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</si>
  <si>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</si>
  <si>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</si>
  <si>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</si>
  <si>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</si>
  <si>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</si>
  <si>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</si>
  <si>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</si>
  <si>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</si>
  <si>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</si>
  <si>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</si>
  <si>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</si>
  <si>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</si>
  <si>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</si>
  <si>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</si>
  <si>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</si>
  <si>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</si>
  <si>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</si>
  <si>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</si>
  <si>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</si>
  <si>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</si>
  <si>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</si>
  <si>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</si>
  <si>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</si>
  <si>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</si>
  <si>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</si>
  <si>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</si>
  <si>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</si>
  <si>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</si>
  <si>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</si>
  <si>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</si>
  <si>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</si>
  <si>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</si>
  <si>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</si>
  <si>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</si>
  <si>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</si>
  <si>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</si>
  <si>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</si>
  <si>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</si>
  <si>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</si>
  <si>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</si>
  <si>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</si>
  <si>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</si>
  <si>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</si>
  <si>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</si>
  <si>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</si>
  <si>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</si>
  <si>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</si>
  <si>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</si>
  <si>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</si>
  <si>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</si>
  <si>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</si>
  <si>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</si>
  <si>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</si>
  <si>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</si>
  <si>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</si>
  <si>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</si>
  <si>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</si>
  <si>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</si>
  <si>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</si>
  <si>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</si>
  <si>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</si>
  <si>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</si>
  <si>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</si>
  <si>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</si>
  <si>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</si>
  <si>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</si>
  <si>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</si>
  <si>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</si>
  <si>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</si>
  <si>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</si>
  <si>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</si>
  <si>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</si>
  <si>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</si>
  <si>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</si>
  <si>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</si>
  <si>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</si>
  <si>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</si>
  <si>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</si>
  <si>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</si>
  <si>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</si>
  <si>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</si>
  <si>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</si>
  <si>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</si>
  <si>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</si>
  <si>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</si>
  <si>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</si>
  <si>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</si>
  <si>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</si>
  <si>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</si>
  <si>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</si>
  <si>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</si>
  <si>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</si>
  <si>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</si>
  <si>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</si>
  <si>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</si>
  <si>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</si>
  <si>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</si>
  <si>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</si>
  <si>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</si>
  <si>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</si>
  <si>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</si>
  <si>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</si>
  <si>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</si>
  <si>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</si>
  <si>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</si>
  <si>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</si>
  <si>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</si>
  <si>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</si>
  <si>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</si>
  <si>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</si>
  <si>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</si>
  <si>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</si>
  <si>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</si>
  <si>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</si>
  <si>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</si>
  <si>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</si>
  <si>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</si>
  <si>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</si>
  <si>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</si>
  <si>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</si>
  <si>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</si>
  <si>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</si>
  <si>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</si>
  <si>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</si>
  <si>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</si>
  <si>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</si>
  <si>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</si>
  <si>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</si>
  <si>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</si>
  <si>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</si>
  <si>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</si>
  <si>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</si>
  <si>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</si>
  <si>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</si>
  <si>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</si>
  <si>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</si>
  <si>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</si>
  <si>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</si>
  <si>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</si>
  <si>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</si>
  <si>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</si>
  <si>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</si>
  <si>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</si>
  <si>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</si>
  <si>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</si>
  <si>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</si>
  <si>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</si>
  <si>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</si>
  <si>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</si>
  <si>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</si>
  <si>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</si>
  <si>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</si>
  <si>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</si>
  <si>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</si>
  <si>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</si>
  <si>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</si>
  <si>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</si>
  <si>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</si>
  <si>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</si>
  <si>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</si>
  <si>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</si>
  <si>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</si>
  <si>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</si>
  <si>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</si>
  <si>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</si>
  <si>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</si>
  <si>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</si>
  <si>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</si>
  <si>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</si>
  <si>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</si>
  <si>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</si>
  <si>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</si>
  <si>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</si>
  <si>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</si>
  <si>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</si>
  <si>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</si>
  <si>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</si>
  <si>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</si>
  <si>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</si>
  <si>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</si>
  <si>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</si>
  <si>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</si>
  <si>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</si>
  <si>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</si>
  <si>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</si>
  <si>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</si>
  <si>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</si>
  <si>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</si>
  <si>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</si>
  <si>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</si>
  <si>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</si>
  <si>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</si>
  <si>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</si>
  <si>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</si>
  <si>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</si>
  <si>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</si>
  <si>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</si>
  <si>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</si>
  <si>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</si>
  <si>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</si>
  <si>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</si>
  <si>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</si>
  <si>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</si>
  <si>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</si>
  <si>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</si>
  <si>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</si>
  <si>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</si>
  <si>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</si>
  <si>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</si>
  <si>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</si>
  <si>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</si>
  <si>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</si>
  <si>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</si>
  <si>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</si>
  <si>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</si>
  <si>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</si>
  <si>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</si>
  <si>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</si>
  <si>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</si>
  <si>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</si>
  <si>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</si>
  <si>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</si>
  <si>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</si>
  <si>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</si>
  <si>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</si>
  <si>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</si>
  <si>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</si>
  <si>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</si>
  <si>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</si>
  <si>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</si>
  <si>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</si>
  <si>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</si>
  <si>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</si>
  <si>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</si>
  <si>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</si>
  <si>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</si>
  <si>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</si>
  <si>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</si>
  <si>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</si>
  <si>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</si>
  <si>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</si>
  <si>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</si>
  <si>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</si>
  <si>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</si>
  <si>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</si>
  <si>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</si>
  <si>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</si>
  <si>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</si>
  <si>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</si>
  <si>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</si>
  <si>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</si>
  <si>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</si>
  <si>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</si>
  <si>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</si>
  <si>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</si>
  <si>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</si>
  <si>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</si>
  <si>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</si>
  <si>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</si>
  <si>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</si>
  <si>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</si>
  <si>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</si>
  <si>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</si>
  <si>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</si>
  <si>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</si>
  <si>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</si>
  <si>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</si>
  <si>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</si>
  <si>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</si>
  <si>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</si>
  <si>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</si>
  <si>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</si>
  <si>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</si>
  <si>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</si>
  <si>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</si>
  <si>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</si>
  <si>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</si>
  <si>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</si>
  <si>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</si>
  <si>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</si>
  <si>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</si>
  <si>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</si>
  <si>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</si>
  <si>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</si>
  <si>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</si>
  <si>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</si>
  <si>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</si>
  <si>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</si>
  <si>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</si>
  <si>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</si>
  <si>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</si>
  <si>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</si>
  <si>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</si>
  <si>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</si>
  <si>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</si>
  <si>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</si>
  <si>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</si>
  <si>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</si>
  <si>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</si>
  <si>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</si>
  <si>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</si>
  <si>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</si>
  <si>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</si>
  <si>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</si>
  <si>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</si>
  <si>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</si>
  <si>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</si>
  <si>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</si>
  <si>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</si>
  <si>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</si>
  <si>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</si>
  <si>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</si>
  <si>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</si>
  <si>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</si>
  <si>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</si>
  <si>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</si>
  <si>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</si>
  <si>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</si>
  <si>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</si>
  <si>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</si>
  <si>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</si>
  <si>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</si>
  <si>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</si>
  <si>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</si>
  <si>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</si>
  <si>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</si>
  <si>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</si>
  <si>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</si>
  <si>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</si>
  <si>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</si>
  <si>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</si>
  <si>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</si>
  <si>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</si>
  <si>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</si>
  <si>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</si>
  <si>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</si>
  <si>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</si>
  <si>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</si>
  <si>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</si>
  <si>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</si>
  <si>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</si>
  <si>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</si>
  <si>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</si>
  <si>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</si>
  <si>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</si>
  <si>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</si>
  <si>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</si>
  <si>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</si>
  <si>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</si>
  <si>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</si>
  <si>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</si>
  <si>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</si>
  <si>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</si>
  <si>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</si>
  <si>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</si>
  <si>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</si>
  <si>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</si>
  <si>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</si>
  <si>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</si>
  <si>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</si>
  <si>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</si>
  <si>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</si>
  <si>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</si>
  <si>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</si>
  <si>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</si>
  <si>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</si>
  <si>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</si>
  <si>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</si>
  <si>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</si>
  <si>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</si>
  <si>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</si>
  <si>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</si>
  <si>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</si>
  <si>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</si>
  <si>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</si>
  <si>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</si>
  <si>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</si>
  <si>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</si>
  <si>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</si>
  <si>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</si>
  <si>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</si>
  <si>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</si>
  <si>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</si>
  <si>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</si>
  <si>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</si>
  <si>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</si>
  <si>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</si>
  <si>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</si>
  <si>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</si>
  <si>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</si>
  <si>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</si>
  <si>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</si>
  <si>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</si>
  <si>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</si>
  <si>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</si>
  <si>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</si>
  <si>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</si>
  <si>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</si>
  <si>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</si>
  <si>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</si>
  <si>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</si>
  <si>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</si>
  <si>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</si>
  <si>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</si>
  <si>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</si>
  <si>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</si>
  <si>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</si>
  <si>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</si>
  <si>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</si>
  <si>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</si>
  <si>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</si>
  <si>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</si>
  <si>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</si>
  <si>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</si>
  <si>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</si>
  <si>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</si>
  <si>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</si>
  <si>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</si>
  <si>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</si>
  <si>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</si>
  <si>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</si>
  <si>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</si>
  <si>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</si>
  <si>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</si>
  <si>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</si>
  <si>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</si>
  <si>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</si>
  <si>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</si>
  <si>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</si>
  <si>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</si>
  <si>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</si>
  <si>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</si>
  <si>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</si>
  <si>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</si>
  <si>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</si>
  <si>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</si>
  <si>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</si>
  <si>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</si>
  <si>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</si>
  <si>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</si>
  <si>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</si>
  <si>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</si>
  <si>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</si>
  <si>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</si>
  <si>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</si>
  <si>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</si>
  <si>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</si>
  <si>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</si>
  <si>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</si>
  <si>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</si>
  <si>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</si>
  <si>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</si>
  <si>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</si>
  <si>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</si>
  <si>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</si>
  <si>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</si>
  <si>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</si>
  <si>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</si>
  <si>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</si>
  <si>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</si>
  <si>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</si>
  <si>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</si>
  <si>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</si>
  <si>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</si>
  <si>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</si>
  <si>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</si>
  <si>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</si>
  <si>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</si>
  <si>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</si>
  <si>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</si>
  <si>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</si>
  <si>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</si>
  <si>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</si>
  <si>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</si>
  <si>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</si>
  <si>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</si>
  <si>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</si>
  <si>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</si>
  <si>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</si>
  <si>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</si>
  <si>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</si>
  <si>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</si>
  <si>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</si>
  <si>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</si>
  <si>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</si>
  <si>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</si>
  <si>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</si>
  <si>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</si>
  <si>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</si>
  <si>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</si>
  <si>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</si>
  <si>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</si>
  <si>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</si>
  <si>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</si>
  <si>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</si>
  <si>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</si>
  <si>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</si>
  <si>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</si>
  <si>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</si>
  <si>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</si>
  <si>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</si>
  <si>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</si>
  <si>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</si>
  <si>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</si>
  <si>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</si>
  <si>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</si>
  <si>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</si>
  <si>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</si>
  <si>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</si>
  <si>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</si>
  <si>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</si>
  <si>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</si>
  <si>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</si>
  <si>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</si>
  <si>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</si>
  <si>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</si>
  <si>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</si>
  <si>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</si>
  <si>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</si>
  <si>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</si>
  <si>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</si>
  <si>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</si>
  <si>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</si>
  <si>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</si>
  <si>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</si>
  <si>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</si>
  <si>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</si>
  <si>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</si>
  <si>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</si>
  <si>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</si>
  <si>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</si>
  <si>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</si>
  <si>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</si>
  <si>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</si>
  <si>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</si>
  <si>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</si>
  <si>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</si>
  <si>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</si>
  <si>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</si>
  <si>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</si>
  <si>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</si>
  <si>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</si>
  <si>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</si>
  <si>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</si>
  <si>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</si>
  <si>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</si>
  <si>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</si>
  <si>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</si>
  <si>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</si>
  <si>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</si>
  <si>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</si>
  <si>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</si>
  <si>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</si>
  <si>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</si>
  <si>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</si>
  <si>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</si>
  <si>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</si>
  <si>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</si>
  <si>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</si>
  <si>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</si>
  <si>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</si>
  <si>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</si>
  <si>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</si>
  <si>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</si>
  <si>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</si>
  <si>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</si>
  <si>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</si>
  <si>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</si>
  <si>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</si>
  <si>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</si>
  <si>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</si>
  <si>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</si>
  <si>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</si>
  <si>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</si>
  <si>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</si>
  <si>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</si>
  <si>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</si>
  <si>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</si>
  <si>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</si>
  <si>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</si>
  <si>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</si>
  <si>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</si>
  <si>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</si>
  <si>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</si>
  <si>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</si>
  <si>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</si>
  <si>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</si>
  <si>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</si>
  <si>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</si>
  <si>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</si>
  <si>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</si>
  <si>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</si>
  <si>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</si>
  <si>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</si>
  <si>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</si>
  <si>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</si>
  <si>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</si>
  <si>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</si>
  <si>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</si>
  <si>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</si>
  <si>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</si>
  <si>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</si>
  <si>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</si>
  <si>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</si>
  <si>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</si>
  <si>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</si>
  <si>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</si>
  <si>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</si>
  <si>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</si>
  <si>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</si>
  <si>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</si>
  <si>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</si>
  <si>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</si>
  <si>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</si>
  <si>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</si>
  <si>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</si>
  <si>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</si>
  <si>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</si>
  <si>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</si>
  <si>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</si>
  <si>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</si>
  <si>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</si>
  <si>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</si>
  <si>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</si>
  <si>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</si>
  <si>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</si>
  <si>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</si>
  <si>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</si>
  <si>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</si>
  <si>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</si>
  <si>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</si>
  <si>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</si>
  <si>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</si>
  <si>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</si>
  <si>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</si>
  <si>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</si>
  <si>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</si>
  <si>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</si>
  <si>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</si>
  <si>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</si>
  <si>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</si>
  <si>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</si>
  <si>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</si>
  <si>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</si>
  <si>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</si>
  <si>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</si>
  <si>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</si>
  <si>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</si>
  <si>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</si>
  <si>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</si>
  <si>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</si>
  <si>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</si>
  <si>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</si>
  <si>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</si>
  <si>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</si>
  <si>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</si>
  <si>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</si>
  <si>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</si>
  <si>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</si>
  <si>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</si>
  <si>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</si>
  <si>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</si>
  <si>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</si>
  <si>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</si>
  <si>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</si>
  <si>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</si>
  <si>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</si>
  <si>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</si>
  <si>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</si>
  <si>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</si>
  <si>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</si>
  <si>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</si>
  <si>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</si>
  <si>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</si>
  <si>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</si>
  <si>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</si>
  <si>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</si>
  <si>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</si>
  <si>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</si>
  <si>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</si>
  <si>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</si>
  <si>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</si>
  <si>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</si>
  <si>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</si>
  <si>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</si>
  <si>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</si>
  <si>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</si>
  <si>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</si>
  <si>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</si>
  <si>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</si>
  <si>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</si>
  <si>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</si>
  <si>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</si>
  <si>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</si>
  <si>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</si>
  <si>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</si>
  <si>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</si>
  <si>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</si>
  <si>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</si>
  <si>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</si>
  <si>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</si>
  <si>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</si>
  <si>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</si>
  <si>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</si>
  <si>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</si>
  <si>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</si>
  <si>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</si>
  <si>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</si>
  <si>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</si>
  <si>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</si>
  <si>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</si>
  <si>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</si>
  <si>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</si>
  <si>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</si>
  <si>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</si>
  <si>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</si>
  <si>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</si>
  <si>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</si>
  <si>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</si>
  <si>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</si>
  <si>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</si>
  <si>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</si>
  <si>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</si>
  <si>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</si>
  <si>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</si>
  <si>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</si>
  <si>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</si>
  <si>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</si>
  <si>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</si>
  <si>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</si>
  <si>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</si>
  <si>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</si>
  <si>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</si>
  <si>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</si>
  <si>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</si>
  <si>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</si>
  <si>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</si>
  <si>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</si>
  <si>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</si>
  <si>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</si>
  <si>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</si>
  <si>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</si>
  <si>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</si>
  <si>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</si>
  <si>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</si>
  <si>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</si>
  <si>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</si>
  <si>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</si>
  <si>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</si>
  <si>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</si>
  <si>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</si>
  <si>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</si>
  <si>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</si>
  <si>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</si>
  <si>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</si>
  <si>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</si>
  <si>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</si>
  <si>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</si>
  <si>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</si>
  <si>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</si>
  <si>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</si>
  <si>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</si>
  <si>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</si>
  <si>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</si>
  <si>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</si>
  <si>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</si>
  <si>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</si>
  <si>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</si>
  <si>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</si>
  <si>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</si>
  <si>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</si>
  <si>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</si>
  <si>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</si>
  <si>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</si>
  <si>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</si>
  <si>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</si>
  <si>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</si>
  <si>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</si>
  <si>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</si>
  <si>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</si>
  <si>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</si>
  <si>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</si>
  <si>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</si>
  <si>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</si>
  <si>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</si>
  <si>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</si>
  <si>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</si>
  <si>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</si>
  <si>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</si>
  <si>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</si>
  <si>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</si>
  <si>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</si>
  <si>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</si>
  <si>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</si>
  <si>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</si>
  <si>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</si>
  <si>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</si>
  <si>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</si>
  <si>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</si>
  <si>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</si>
  <si>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</si>
  <si>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</si>
  <si>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</si>
  <si>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</si>
  <si>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</si>
  <si>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</si>
  <si>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</si>
  <si>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</si>
  <si>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</si>
  <si>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</si>
  <si>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</si>
  <si>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</si>
  <si>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</si>
  <si>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</si>
  <si>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</si>
  <si>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</si>
  <si>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</si>
  <si>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</si>
  <si>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</si>
  <si>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</si>
  <si>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</si>
  <si>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</si>
  <si>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</si>
  <si>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</si>
  <si>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</si>
  <si>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</si>
  <si>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</si>
  <si>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</si>
  <si>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</si>
  <si>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</si>
  <si>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</si>
  <si>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</si>
  <si>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</si>
  <si>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</si>
  <si>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</si>
  <si>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</si>
  <si>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</si>
  <si>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</si>
  <si>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</si>
  <si>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</si>
  <si>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</si>
  <si>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</si>
  <si>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</si>
  <si>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</si>
  <si>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</si>
  <si>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</si>
  <si>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</si>
  <si>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</si>
  <si>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</si>
  <si>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</si>
  <si>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</si>
  <si>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</si>
  <si>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</si>
  <si>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</si>
  <si>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</si>
  <si>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</si>
  <si>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</si>
  <si>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</si>
  <si>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</si>
  <si>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</si>
  <si>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</si>
  <si>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</si>
  <si>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</si>
  <si>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</si>
  <si>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</si>
  <si>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</si>
  <si>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</si>
  <si>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</si>
  <si>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</si>
  <si>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</si>
  <si>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</si>
  <si>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</si>
  <si>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</si>
  <si>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</si>
  <si>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</si>
  <si>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</si>
  <si>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</si>
  <si>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</si>
  <si>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</si>
  <si>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</si>
  <si>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</si>
  <si>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</si>
  <si>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</si>
  <si>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</si>
  <si>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</si>
  <si>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</si>
  <si>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</si>
  <si>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</si>
  <si>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</si>
  <si>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</si>
  <si>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</si>
  <si>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</si>
  <si>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</si>
  <si>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</si>
  <si>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</si>
  <si>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</si>
  <si>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</si>
  <si>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</si>
  <si>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</si>
  <si>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</si>
  <si>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</si>
  <si>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</si>
  <si>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</si>
  <si>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</si>
  <si>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</si>
  <si>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</si>
  <si>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</si>
  <si>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</si>
  <si>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</si>
  <si>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</si>
  <si>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</si>
  <si>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</si>
  <si>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</si>
  <si>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</si>
  <si>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</si>
  <si>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</si>
  <si>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</si>
  <si>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</si>
  <si>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</si>
  <si>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</si>
  <si>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</si>
  <si>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</si>
  <si>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</si>
  <si>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</si>
  <si>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</si>
  <si>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</si>
  <si>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</si>
  <si>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</si>
  <si>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</si>
  <si>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</si>
  <si>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</si>
  <si>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</si>
  <si>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</si>
  <si>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</si>
  <si>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</si>
  <si>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</si>
  <si>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</si>
  <si>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</si>
  <si>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</si>
  <si>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</si>
  <si>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</si>
  <si>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</si>
  <si>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</si>
  <si>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</si>
  <si>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</si>
  <si>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</si>
  <si>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</si>
  <si>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</si>
  <si>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</si>
  <si>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</si>
  <si>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</si>
  <si>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</si>
  <si>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</si>
  <si>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</si>
  <si>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</si>
  <si>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</si>
  <si>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</si>
  <si>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</si>
  <si>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</si>
  <si>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</si>
  <si>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</si>
  <si>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</si>
  <si>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</si>
  <si>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</si>
  <si>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</si>
  <si>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</si>
  <si>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</si>
  <si>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</si>
  <si>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</si>
  <si>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</si>
  <si>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</si>
  <si>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</si>
  <si>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</si>
  <si>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</si>
  <si>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</si>
  <si>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</si>
  <si>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</si>
  <si>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</si>
  <si>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</si>
  <si>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</si>
  <si>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</si>
  <si>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</si>
  <si>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</si>
  <si>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</si>
  <si>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</si>
  <si>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</si>
  <si>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</si>
  <si>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</si>
  <si>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</si>
  <si>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</si>
  <si>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</si>
  <si>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</si>
  <si>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</si>
  <si>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</si>
  <si>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</si>
  <si>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</si>
  <si>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</si>
  <si>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</si>
  <si>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</si>
  <si>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</si>
  <si>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</si>
  <si>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</si>
  <si>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</si>
  <si>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</si>
  <si>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</si>
  <si>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</si>
  <si>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</si>
  <si>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</si>
  <si>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</si>
  <si>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</si>
  <si>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</si>
  <si>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</si>
  <si>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</si>
  <si>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</si>
  <si>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</si>
  <si>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</si>
  <si>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</si>
  <si>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</si>
  <si>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</si>
  <si>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</si>
  <si>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</si>
  <si>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</si>
  <si>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</si>
  <si>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</si>
  <si>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</si>
  <si>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</si>
  <si>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</si>
  <si>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</si>
  <si>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</si>
  <si>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</si>
  <si>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</si>
  <si>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</si>
  <si>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</si>
  <si>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</si>
  <si>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</si>
  <si>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</si>
  <si>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</si>
  <si>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</si>
  <si>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</si>
  <si>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</si>
  <si>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</si>
  <si>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</si>
  <si>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</si>
  <si>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</si>
  <si>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</si>
  <si>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</si>
  <si>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</si>
  <si>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</si>
  <si>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</si>
  <si>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</si>
  <si>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</si>
  <si>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</si>
  <si>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</si>
  <si>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</si>
  <si>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</si>
  <si>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</si>
  <si>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</si>
  <si>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</si>
  <si>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</si>
  <si>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</si>
  <si>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</si>
  <si>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</si>
  <si>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</si>
  <si>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</si>
  <si>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</si>
  <si>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</si>
  <si>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</si>
  <si>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</si>
  <si>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</si>
  <si>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</si>
  <si>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</si>
  <si>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</si>
  <si>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</si>
  <si>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</si>
  <si>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</si>
  <si>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</si>
  <si>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</si>
  <si>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</si>
  <si>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</si>
  <si>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</si>
  <si>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</si>
  <si>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</si>
  <si>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</si>
  <si>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</si>
  <si>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</si>
  <si>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</si>
  <si>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</si>
  <si>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</si>
  <si>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</si>
  <si>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</si>
  <si>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</si>
  <si>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</si>
  <si>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</si>
  <si>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</si>
  <si>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</si>
  <si>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</si>
  <si>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</si>
  <si>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</si>
  <si>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</si>
  <si>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</si>
  <si>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</si>
  <si>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</si>
  <si>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</si>
  <si>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</si>
  <si>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</si>
  <si>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</si>
  <si>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</si>
  <si>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</si>
  <si>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</si>
  <si>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</si>
  <si>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</si>
  <si>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</si>
  <si>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</si>
  <si>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</si>
  <si>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</si>
  <si>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</si>
  <si>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</si>
  <si>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</si>
  <si>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</si>
  <si>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</si>
  <si>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</si>
  <si>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</si>
  <si>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</si>
  <si>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</si>
  <si>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</si>
  <si>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</si>
  <si>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</si>
  <si>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</si>
  <si>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</si>
  <si>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</si>
  <si>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</si>
  <si>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</si>
  <si>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</si>
  <si>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</si>
  <si>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</si>
  <si>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</si>
  <si>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</si>
  <si>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</si>
  <si>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</si>
  <si>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</si>
  <si>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</si>
  <si>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</si>
  <si>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</si>
  <si>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</si>
  <si>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</si>
  <si>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</si>
  <si>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</si>
  <si>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</si>
  <si>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</si>
  <si>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</si>
  <si>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</si>
  <si>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</si>
  <si>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</si>
  <si>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</si>
  <si>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</si>
  <si>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</si>
  <si>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</si>
  <si>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</si>
  <si>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</si>
  <si>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</si>
  <si>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</si>
  <si>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</si>
  <si>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</si>
  <si>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</si>
  <si>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</si>
  <si>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</si>
  <si>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</si>
  <si>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</si>
  <si>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</si>
  <si>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</si>
  <si>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</si>
  <si>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</si>
  <si>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</si>
  <si>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</si>
  <si>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</si>
  <si>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</si>
  <si>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</si>
  <si>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</si>
  <si>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</si>
  <si>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</si>
  <si>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</si>
  <si>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</si>
  <si>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</si>
  <si>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</si>
  <si>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</si>
  <si>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</si>
  <si>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</si>
  <si>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</si>
  <si>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</si>
  <si>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</si>
  <si>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</si>
  <si>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</si>
  <si>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</si>
  <si>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</si>
  <si>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</si>
  <si>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</si>
  <si>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</si>
  <si>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</si>
  <si>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</si>
  <si>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</si>
  <si>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</si>
  <si>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</si>
  <si>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</si>
  <si>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</si>
  <si>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</si>
  <si>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</si>
  <si>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</si>
  <si>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</si>
  <si>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</si>
  <si>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</si>
  <si>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</si>
  <si>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</si>
  <si>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</si>
  <si>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</si>
  <si>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</si>
  <si>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</si>
  <si>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</si>
  <si>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</si>
  <si>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</si>
  <si>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</si>
  <si>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</si>
  <si>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</si>
  <si>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</si>
  <si>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</si>
  <si>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</si>
  <si>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</si>
  <si>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</si>
  <si>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</si>
  <si>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</si>
  <si>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</si>
  <si>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</si>
  <si>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</si>
  <si>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</si>
  <si>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</si>
  <si>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</si>
  <si>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</si>
  <si>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</si>
  <si>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</si>
  <si>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</si>
  <si>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</si>
  <si>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</si>
  <si>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</si>
  <si>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</si>
  <si>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</si>
  <si>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</si>
  <si>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</si>
  <si>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</si>
  <si>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</si>
  <si>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</si>
  <si>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</si>
  <si>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</si>
  <si>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</si>
  <si>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</si>
  <si>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</si>
  <si>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</si>
  <si>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</si>
  <si>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</si>
  <si>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</si>
  <si>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</si>
  <si>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</si>
  <si>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</si>
  <si>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</si>
  <si>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</si>
  <si>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</si>
  <si>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</si>
  <si>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</si>
  <si>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</si>
  <si>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</si>
  <si>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</si>
  <si>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</si>
  <si>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</si>
  <si>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</si>
  <si>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</si>
  <si>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</si>
  <si>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</si>
  <si>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</si>
  <si>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</si>
  <si>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</si>
  <si>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</si>
  <si>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</si>
  <si>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</si>
  <si>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</si>
  <si>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</si>
  <si>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</si>
  <si>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</si>
  <si>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</si>
  <si>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</si>
  <si>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</si>
  <si>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</si>
  <si>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</si>
  <si>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</si>
  <si>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</si>
  <si>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</si>
  <si>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</si>
  <si>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</si>
  <si>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</si>
  <si>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</si>
  <si>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</si>
  <si>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</si>
  <si>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</si>
  <si>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</si>
  <si>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</si>
  <si>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</si>
  <si>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</si>
  <si>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</si>
  <si>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</si>
  <si>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</si>
  <si>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</si>
  <si>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</si>
  <si>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</si>
  <si>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</si>
  <si>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</si>
  <si>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</si>
  <si>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</si>
  <si>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</si>
  <si>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</si>
  <si>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</si>
  <si>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</si>
  <si>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</si>
  <si>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</si>
  <si>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</si>
  <si>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</si>
  <si>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</si>
  <si>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</si>
  <si>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</si>
  <si>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</si>
  <si>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</si>
  <si>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</si>
  <si>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</si>
  <si>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</si>
  <si>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</si>
  <si>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</si>
  <si>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</si>
  <si>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</si>
  <si>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</si>
  <si>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</si>
  <si>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</si>
  <si>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</si>
  <si>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</si>
  <si>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</si>
  <si>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</si>
  <si>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</si>
  <si>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</si>
  <si>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</si>
  <si>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</si>
  <si>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</si>
  <si>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</si>
  <si>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</si>
  <si>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</si>
  <si>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</si>
  <si>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</si>
  <si>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</si>
  <si>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</si>
  <si>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</si>
  <si>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</si>
  <si>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</si>
  <si>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</si>
  <si>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</si>
  <si>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</si>
  <si>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</si>
  <si>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</si>
  <si>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</si>
  <si>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</si>
  <si>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</si>
  <si>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</si>
  <si>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</si>
  <si>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</si>
  <si>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</si>
  <si>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</si>
  <si>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</si>
  <si>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</si>
  <si>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</si>
  <si>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</si>
  <si>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</si>
  <si>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</si>
  <si>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</si>
  <si>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</si>
  <si>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</si>
  <si>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</si>
  <si>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</si>
  <si>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</si>
  <si>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</si>
  <si>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</si>
  <si>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</si>
  <si>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</si>
  <si>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</si>
  <si>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</si>
  <si>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</si>
  <si>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</si>
  <si>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</si>
  <si>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</si>
  <si>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</si>
  <si>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</si>
  <si>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</si>
  <si>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</si>
  <si>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</si>
  <si>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</si>
  <si>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</si>
  <si>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</si>
  <si>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</si>
  <si>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</si>
  <si>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</si>
  <si>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</si>
  <si>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</si>
  <si>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</si>
  <si>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</si>
  <si>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</si>
  <si>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</si>
  <si>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</si>
  <si>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</si>
  <si>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</si>
  <si>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</si>
  <si>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</si>
  <si>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</si>
  <si>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</si>
  <si>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</si>
  <si>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</si>
  <si>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</si>
  <si>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</si>
  <si>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</si>
  <si>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</si>
  <si>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</si>
  <si>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</si>
  <si>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</si>
  <si>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</si>
  <si>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</si>
  <si>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</si>
  <si>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</si>
  <si>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</si>
  <si>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</si>
  <si>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</si>
  <si>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</si>
  <si>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</si>
  <si>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</si>
  <si>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</si>
  <si>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</si>
  <si>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</si>
  <si>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</si>
  <si>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</si>
  <si>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</si>
  <si>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</si>
  <si>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</si>
  <si>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</si>
  <si>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</si>
  <si>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</si>
  <si>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</si>
  <si>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</si>
  <si>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</si>
  <si>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</si>
  <si>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</si>
  <si>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</si>
  <si>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</si>
  <si>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</si>
  <si>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</si>
  <si>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</si>
  <si>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</si>
  <si>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</si>
  <si>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</si>
  <si>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</si>
  <si>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</si>
  <si>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</si>
  <si>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</si>
  <si>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</si>
  <si>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</si>
  <si>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</si>
  <si>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</si>
  <si>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</si>
  <si>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</si>
  <si>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</si>
  <si>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</si>
  <si>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</si>
  <si>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</si>
  <si>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</si>
  <si>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</si>
  <si>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</si>
  <si>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</si>
  <si>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</si>
  <si>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</si>
  <si>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</si>
  <si>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</si>
  <si>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</si>
  <si>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</si>
  <si>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</si>
  <si>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</si>
  <si>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</si>
  <si>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</si>
  <si>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</si>
  <si>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</si>
  <si>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</si>
  <si>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</si>
  <si>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</si>
  <si>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</si>
  <si>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</si>
  <si>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</si>
  <si>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</si>
  <si>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</si>
  <si>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</si>
  <si>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</si>
  <si>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</si>
  <si>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</si>
  <si>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</si>
  <si>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</si>
  <si>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</si>
  <si>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</si>
  <si>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</si>
  <si>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</si>
  <si>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</si>
  <si>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</si>
  <si>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</si>
  <si>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</si>
  <si>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</si>
  <si>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</si>
  <si>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</si>
  <si>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</si>
  <si>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</si>
  <si>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</si>
  <si>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</si>
  <si>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</si>
  <si>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</si>
  <si>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</si>
  <si>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</si>
  <si>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</si>
  <si>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</si>
  <si>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</si>
  <si>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</si>
  <si>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</si>
  <si>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</si>
  <si>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</si>
  <si>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</si>
  <si>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</si>
  <si>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</si>
  <si>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</si>
  <si>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</si>
  <si>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</si>
  <si>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</si>
  <si>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</si>
  <si>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</si>
  <si>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</si>
  <si>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</si>
  <si>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</si>
  <si>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</si>
  <si>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</si>
  <si>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</si>
  <si>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</si>
  <si>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</si>
  <si>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</si>
  <si>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</si>
  <si>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</si>
  <si>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</si>
  <si>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</si>
  <si>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</si>
  <si>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</si>
  <si>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</si>
  <si>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</si>
  <si>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</si>
  <si>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</si>
  <si>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</si>
  <si>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</si>
  <si>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</si>
  <si>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</si>
  <si>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</si>
  <si>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</si>
  <si>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</si>
  <si>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</si>
  <si>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</si>
  <si>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</si>
  <si>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</si>
  <si>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</si>
  <si>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</si>
  <si>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</si>
  <si>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</si>
  <si>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</si>
  <si>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</si>
  <si>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</si>
  <si>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</si>
  <si>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</si>
  <si>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</si>
  <si>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</si>
  <si>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</si>
  <si>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</si>
  <si>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</si>
  <si>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</si>
  <si>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</si>
  <si>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</si>
  <si>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</si>
  <si>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</si>
  <si>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</si>
  <si>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</si>
  <si>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</si>
  <si>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</si>
  <si>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</si>
  <si>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</si>
  <si>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</si>
  <si>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</si>
  <si>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</si>
  <si>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</si>
  <si>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</si>
  <si>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</si>
  <si>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</si>
  <si>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</si>
  <si>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</si>
  <si>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</si>
  <si>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</si>
  <si>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</si>
  <si>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</si>
  <si>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</si>
  <si>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</si>
  <si>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</si>
  <si>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</si>
  <si>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</si>
  <si>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</si>
  <si>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</si>
  <si>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</si>
  <si>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</si>
  <si>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</si>
  <si>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</si>
  <si>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</si>
  <si>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</si>
  <si>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</si>
  <si>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</si>
  <si>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</si>
  <si>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</si>
  <si>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</si>
  <si>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</si>
  <si>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</si>
  <si>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</si>
  <si>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</si>
  <si>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</si>
  <si>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</si>
  <si>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</si>
  <si>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</si>
  <si>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</si>
  <si>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</si>
  <si>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</si>
  <si>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</si>
  <si>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</si>
  <si>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</si>
  <si>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</si>
  <si>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</si>
  <si>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</si>
  <si>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</si>
  <si>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</si>
  <si>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</si>
  <si>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</si>
  <si>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</si>
  <si>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</si>
  <si>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</si>
  <si>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</si>
  <si>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</si>
  <si>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</si>
  <si>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</si>
  <si>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</si>
  <si>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</si>
  <si>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</si>
  <si>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</si>
  <si>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</si>
  <si>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</si>
  <si>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</si>
  <si>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</si>
  <si>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</si>
  <si>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</si>
  <si>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</si>
  <si>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</si>
  <si>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</si>
  <si>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</si>
  <si>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</si>
  <si>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</si>
  <si>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</si>
  <si>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</si>
  <si>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</si>
  <si>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</si>
  <si>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</si>
  <si>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</si>
  <si>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</si>
  <si>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</si>
  <si>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</si>
  <si>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</si>
  <si>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</si>
  <si>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</si>
  <si>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</si>
  <si>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</si>
  <si>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</si>
  <si>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</si>
  <si>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</si>
  <si>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</si>
  <si>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</si>
  <si>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</si>
  <si>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</si>
  <si>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</si>
  <si>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</si>
  <si>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</si>
  <si>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</si>
  <si>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</si>
  <si>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</si>
  <si>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</si>
  <si>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</si>
  <si>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</si>
  <si>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</si>
  <si>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</si>
  <si>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</si>
  <si>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</si>
  <si>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</si>
  <si>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</si>
  <si>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</si>
  <si>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</si>
  <si>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</si>
  <si>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</si>
  <si>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</si>
  <si>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</si>
  <si>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</si>
  <si>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</si>
  <si>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</si>
  <si>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</si>
  <si>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</si>
  <si>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</si>
  <si>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</si>
  <si>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</si>
  <si>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</si>
  <si>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</si>
  <si>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</si>
  <si>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</si>
  <si>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</si>
  <si>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</si>
  <si>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</si>
  <si>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</si>
  <si>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</si>
  <si>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</si>
  <si>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</si>
  <si>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</si>
  <si>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</si>
  <si>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</si>
  <si>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</si>
  <si>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</si>
  <si>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</si>
  <si>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</si>
  <si>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</si>
  <si>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</si>
  <si>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</si>
  <si>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</si>
  <si>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</si>
  <si>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</si>
  <si>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</si>
  <si>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</si>
  <si>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</si>
  <si>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</si>
  <si>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</si>
  <si>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</si>
  <si>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</si>
  <si>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</si>
  <si>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</si>
  <si>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</si>
  <si>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</si>
  <si>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</si>
  <si>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</si>
  <si>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</si>
  <si>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</si>
  <si>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</si>
  <si>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</si>
  <si>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</si>
  <si>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</si>
  <si>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</si>
  <si>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</si>
  <si>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</si>
  <si>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</si>
  <si>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</si>
  <si>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</si>
  <si>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</si>
  <si>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</si>
  <si>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</si>
  <si>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</si>
  <si>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</si>
  <si>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</si>
  <si>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</si>
  <si>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</si>
  <si>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</si>
  <si>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</si>
  <si>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</si>
  <si>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</si>
  <si>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</si>
  <si>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</si>
  <si>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</si>
  <si>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</si>
  <si>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</si>
  <si>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</si>
  <si>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</si>
  <si>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</si>
  <si>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</si>
  <si>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</si>
  <si>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</si>
  <si>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</si>
  <si>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</si>
  <si>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</si>
  <si>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</si>
  <si>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</si>
  <si>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</si>
  <si>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</si>
  <si>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</si>
  <si>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</si>
  <si>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</si>
  <si>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</si>
  <si>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</si>
  <si>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</si>
  <si>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</si>
  <si>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</si>
  <si>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</si>
  <si>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</si>
  <si>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</si>
  <si>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</si>
  <si>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</si>
  <si>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</si>
  <si>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</si>
  <si>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</si>
  <si>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</si>
  <si>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</si>
  <si>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</si>
  <si>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</si>
  <si>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</si>
  <si>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</si>
  <si>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</si>
  <si>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</si>
  <si>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</si>
  <si>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</si>
  <si>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</si>
  <si>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</si>
  <si>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</si>
  <si>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</si>
  <si>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</si>
  <si>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</si>
  <si>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</si>
  <si>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</si>
  <si>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</si>
  <si>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</si>
  <si>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</si>
  <si>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</si>
  <si>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</si>
  <si>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</si>
  <si>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</si>
  <si>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</si>
  <si>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</si>
  <si>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</si>
  <si>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</si>
  <si>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</si>
  <si>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</si>
  <si>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</si>
  <si>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</si>
  <si>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</si>
  <si>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</si>
  <si>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</si>
  <si>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</si>
  <si>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</si>
  <si>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</si>
  <si>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</si>
  <si>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</si>
  <si>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</si>
  <si>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</si>
  <si>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</si>
  <si>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</si>
  <si>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</si>
  <si>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</si>
  <si>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</si>
  <si>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</si>
  <si>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</si>
  <si>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</si>
  <si>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</si>
  <si>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</si>
  <si>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</si>
  <si>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</si>
  <si>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</si>
  <si>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</si>
  <si>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</si>
  <si>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</si>
  <si>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</si>
  <si>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</si>
  <si>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</si>
  <si>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</si>
  <si>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</si>
  <si>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</si>
  <si>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</si>
  <si>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</si>
  <si>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</si>
  <si>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</si>
  <si>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</si>
  <si>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</si>
  <si>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</si>
  <si>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</si>
  <si>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</si>
  <si>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</si>
  <si>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</si>
  <si>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</si>
  <si>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</si>
  <si>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</si>
  <si>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</si>
  <si>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</si>
  <si>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</si>
  <si>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</si>
  <si>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</si>
  <si>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</si>
  <si>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</si>
  <si>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</si>
  <si>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</si>
  <si>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</si>
  <si>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</si>
  <si>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</si>
  <si>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</si>
  <si>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</si>
  <si>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</si>
  <si>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</si>
  <si>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</si>
  <si>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</si>
  <si>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</si>
  <si>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</si>
  <si>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</si>
  <si>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</si>
  <si>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</si>
  <si>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</si>
  <si>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</si>
  <si>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</si>
  <si>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</si>
  <si>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</si>
  <si>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</si>
  <si>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</si>
  <si>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</si>
  <si>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</si>
  <si>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</si>
  <si>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</si>
  <si>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</si>
  <si>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</si>
  <si>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</si>
  <si>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</si>
  <si>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</si>
  <si>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</si>
  <si>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</si>
  <si>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</si>
  <si>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</si>
  <si>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</si>
  <si>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</si>
  <si>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</si>
  <si>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</si>
  <si>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</si>
  <si>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</si>
  <si>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</si>
  <si>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</si>
  <si>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</si>
  <si>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</si>
  <si>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</si>
  <si>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</si>
  <si>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</si>
  <si>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</si>
  <si>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</si>
  <si>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</si>
  <si>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</si>
  <si>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</si>
  <si>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</si>
  <si>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</si>
  <si>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</si>
  <si>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</si>
  <si>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</si>
  <si>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</si>
  <si>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</si>
  <si>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</si>
  <si>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</si>
  <si>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</si>
  <si>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</si>
  <si>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</si>
  <si>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</si>
  <si>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</si>
  <si>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</si>
  <si>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</si>
  <si>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</si>
  <si>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</si>
  <si>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RBFT保守est</t>
  </si>
  <si>
    <t>Feb23{bonus</t>
  </si>
  <si>
    <t>Mar20{bonus</t>
  </si>
  <si>
    <t>46k givens2kids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</si>
  <si>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</si>
  <si>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</si>
  <si>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</si>
  <si>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</si>
  <si>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</si>
  <si>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</si>
  <si>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</si>
  <si>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</si>
  <si>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</si>
  <si>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</si>
  <si>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</si>
  <si>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</si>
  <si>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</si>
  <si>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</si>
  <si>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</si>
  <si>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</si>
  <si>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</si>
  <si>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</si>
  <si>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</si>
  <si>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</si>
  <si>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</si>
  <si>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</si>
  <si>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</si>
  <si>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</si>
  <si>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</si>
  <si>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</si>
  <si>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</si>
  <si>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</si>
  <si>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</si>
  <si>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</si>
  <si>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</si>
  <si>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</si>
  <si>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</si>
  <si>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</si>
  <si>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</si>
  <si>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</si>
  <si>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</si>
  <si>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</si>
  <si>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</si>
  <si>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</si>
  <si>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</si>
  <si>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</si>
  <si>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</si>
  <si>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</si>
  <si>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</si>
  <si>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</si>
  <si>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</si>
  <si>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</si>
  <si>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</si>
  <si>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</si>
  <si>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</si>
  <si>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</si>
  <si>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</si>
  <si>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</si>
  <si>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</si>
  <si>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</si>
  <si>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</si>
  <si>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</si>
  <si>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</si>
  <si>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</si>
  <si>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</si>
  <si>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</si>
  <si>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</si>
  <si>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</si>
  <si>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</si>
  <si>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</si>
  <si>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</si>
  <si>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</si>
  <si>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</si>
  <si>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</si>
  <si>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</si>
  <si>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</si>
  <si>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</si>
  <si>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</si>
  <si>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</si>
  <si>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</si>
  <si>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</si>
  <si>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</si>
  <si>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</si>
  <si>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30 Apr</t>
    </r>
  </si>
  <si>
    <t>MCS
-RBFT</t>
  </si>
  <si>
    <t>mtg</t>
  </si>
  <si>
    <t>morning to hand in form to UOB</t>
  </si>
  <si>
    <t>cpf deduction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</si>
  <si>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</si>
  <si>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</si>
  <si>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</si>
  <si>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</si>
  <si>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</si>
  <si>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</si>
  <si>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</si>
  <si>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</si>
  <si>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</si>
  <si>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</si>
  <si>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</si>
  <si>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</si>
  <si>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</si>
  <si>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</si>
  <si>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</si>
  <si>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</si>
  <si>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</si>
  <si>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</si>
  <si>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</si>
  <si>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</si>
  <si>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kids placeholder</t>
  </si>
  <si>
    <t>lock removal #MCS</t>
  </si>
  <si>
    <t>taobao $233.62 charged n refunded</t>
  </si>
  <si>
    <t>Citi cCard #CR</t>
  </si>
  <si>
    <t>^ offset by EGA int</t>
  </si>
  <si>
    <t xml:space="preserve">CitiRBFT </t>
  </si>
  <si>
    <t>MB RBFT P+I 30Mar</t>
  </si>
  <si>
    <t>MB RBFT P+I</t>
  </si>
  <si>
    <t>meimei's toy</t>
  </si>
  <si>
    <t>shopee chia</t>
  </si>
  <si>
    <t>shopee cool`mat</t>
  </si>
  <si>
    <t>MrDIY #HSBC</t>
  </si>
  <si>
    <t>PrimeCare</t>
  </si>
  <si>
    <t>157.54 not yet</t>
  </si>
  <si>
    <t>Starhub#EOM#transition!</t>
  </si>
  <si>
    <t>pay down to cpfOA capacity</t>
  </si>
  <si>
    <t>shopee condom/ring</t>
  </si>
  <si>
    <t>CGC@HPB #HSBC</t>
  </si>
  <si>
    <t>refill Canon</t>
  </si>
  <si>
    <t>HP2723e</t>
  </si>
  <si>
    <t>Ichiban#MB</t>
  </si>
  <si>
    <t>shopee pump</t>
  </si>
  <si>
    <t>TC #108#18th</t>
  </si>
  <si>
    <t>taxi2visa</t>
  </si>
  <si>
    <t>visa misc</t>
  </si>
  <si>
    <t>visa fees</t>
  </si>
  <si>
    <t xml:space="preserve">   ⬐explain A-B⬐</t>
  </si>
  <si>
    <t>ATM till 26 Apr }</t>
  </si>
  <si>
    <t>xfer2wife #7k so far</t>
  </si>
  <si>
    <t>fire bx</t>
  </si>
  <si>
    <t>Urohealth</t>
  </si>
  <si>
    <t>KFC+Bking</t>
  </si>
  <si>
    <t>polyclinic#24Apr</t>
  </si>
  <si>
    <t>RMG#HSBC</t>
  </si>
  <si>
    <t>boy meal$$</t>
  </si>
  <si>
    <t>mid 28Apr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</si>
</sst>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6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9"/>
      <color rgb="FF333333"/>
      <name val="Microsoft YaHei"/>
      <family val="2"/>
    </font>
    <font>
      <sz val="11"/>
      <color rgb="FF444444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4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quotePrefix="1" applyFont="1" applyFill="1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177" fontId="75" fillId="0" borderId="0" xfId="3" applyNumberFormat="1" applyFont="1" applyAlignment="1">
      <alignment vertical="center"/>
    </xf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76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76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4" borderId="0" xfId="0" applyNumberFormat="1" applyFont="1" applyFill="1"/>
    <xf numFmtId="3" fontId="22" fillId="24" borderId="8" xfId="0" applyNumberFormat="1" applyFont="1" applyFill="1" applyBorder="1" applyAlignment="1">
      <alignment horizontal="center"/>
    </xf>
    <xf numFmtId="3" fontId="22" fillId="24" borderId="8" xfId="0" applyNumberFormat="1" applyFont="1" applyFill="1" applyBorder="1" applyAlignment="1">
      <alignment horizontal="center" wrapText="1"/>
    </xf>
    <xf numFmtId="0" fontId="22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3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 applyBorder="1" applyAlignment="1"/>
    <xf numFmtId="4" fontId="84" fillId="0" borderId="0" xfId="0" applyNumberFormat="1" applyFont="1" applyFill="1"/>
    <xf numFmtId="4" fontId="84" fillId="0" borderId="24" xfId="0" applyNumberFormat="1" applyFont="1" applyFill="1" applyBorder="1" applyAlignment="1">
      <alignment horizontal="right" vertical="center" wrapText="1"/>
    </xf>
    <xf numFmtId="0" fontId="85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5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3" fontId="36" fillId="0" borderId="0" xfId="0" applyNumberFormat="1" applyFont="1"/>
    <xf numFmtId="0" fontId="0" fillId="0" borderId="0" xfId="0"/>
    <xf numFmtId="0" fontId="80" fillId="0" borderId="0" xfId="3" applyFont="1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75" fillId="0" borderId="0" xfId="3" applyNumberFormat="1" applyFont="1" applyAlignment="1">
      <alignment horizontal="right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workbookViewId="0">
      <selection activeCell="F26" sqref="F26"/>
    </sheetView>
  </sheetViews>
  <sheetFormatPr defaultRowHeight="12.75" x14ac:dyDescent="0.2"/>
  <cols>
    <col min="2" max="2" width="9.140625" style="9"/>
  </cols>
  <sheetData>
    <row r="1" spans="1:8" ht="14.25" x14ac:dyDescent="0.3">
      <c r="A1" s="108">
        <v>44986</v>
      </c>
      <c r="B1" s="715">
        <v>5117.17</v>
      </c>
    </row>
    <row r="2" spans="1:8" ht="14.25" x14ac:dyDescent="0.3">
      <c r="A2" s="108">
        <v>44987</v>
      </c>
      <c r="B2" s="715">
        <v>5117.17</v>
      </c>
    </row>
    <row r="3" spans="1:8" ht="14.25" x14ac:dyDescent="0.3">
      <c r="A3" s="108">
        <v>44988</v>
      </c>
      <c r="B3" s="715">
        <v>5117.17</v>
      </c>
    </row>
    <row r="4" spans="1:8" ht="14.25" x14ac:dyDescent="0.3">
      <c r="A4" s="108">
        <v>44989</v>
      </c>
      <c r="B4" s="715">
        <v>5117.17</v>
      </c>
    </row>
    <row r="5" spans="1:8" ht="14.25" x14ac:dyDescent="0.3">
      <c r="A5" s="108">
        <v>44990</v>
      </c>
      <c r="B5" s="715">
        <v>5117.17</v>
      </c>
    </row>
    <row r="6" spans="1:8" ht="14.25" x14ac:dyDescent="0.3">
      <c r="A6" s="108">
        <v>44991</v>
      </c>
      <c r="B6" s="715">
        <v>3117.16</v>
      </c>
    </row>
    <row r="7" spans="1:8" ht="14.25" x14ac:dyDescent="0.3">
      <c r="A7" s="108">
        <v>44992</v>
      </c>
      <c r="B7" s="715">
        <v>3117.16</v>
      </c>
    </row>
    <row r="8" spans="1:8" ht="14.25" x14ac:dyDescent="0.2">
      <c r="A8" s="108">
        <v>44993</v>
      </c>
      <c r="B8" s="716">
        <v>3108.53</v>
      </c>
      <c r="H8" s="713"/>
    </row>
    <row r="9" spans="1:8" ht="14.25" x14ac:dyDescent="0.2">
      <c r="A9" s="108">
        <v>44994</v>
      </c>
      <c r="B9" s="716">
        <v>3108.53</v>
      </c>
    </row>
    <row r="10" spans="1:8" ht="14.25" x14ac:dyDescent="0.2">
      <c r="A10" s="108">
        <v>44995</v>
      </c>
      <c r="B10" s="716">
        <v>3108.53</v>
      </c>
    </row>
    <row r="11" spans="1:8" ht="14.25" x14ac:dyDescent="0.2">
      <c r="A11" s="108">
        <v>44996</v>
      </c>
      <c r="B11" s="716">
        <v>3108.53</v>
      </c>
    </row>
    <row r="12" spans="1:8" ht="14.25" x14ac:dyDescent="0.2">
      <c r="A12" s="108">
        <v>44997</v>
      </c>
      <c r="B12" s="716">
        <v>3108.53</v>
      </c>
    </row>
    <row r="13" spans="1:8" ht="14.25" x14ac:dyDescent="0.2">
      <c r="A13" s="108">
        <v>44998</v>
      </c>
      <c r="B13" s="716">
        <v>3108.53</v>
      </c>
    </row>
    <row r="14" spans="1:8" ht="14.25" x14ac:dyDescent="0.2">
      <c r="A14" s="108">
        <v>44999</v>
      </c>
      <c r="B14" s="716">
        <v>3108.53</v>
      </c>
    </row>
    <row r="15" spans="1:8" ht="14.25" x14ac:dyDescent="0.2">
      <c r="A15" s="108">
        <v>45000</v>
      </c>
      <c r="B15" s="716">
        <v>3108.53</v>
      </c>
    </row>
    <row r="16" spans="1:8" ht="14.25" x14ac:dyDescent="0.2">
      <c r="A16" s="108">
        <v>45001</v>
      </c>
      <c r="B16" s="716">
        <v>3108.53</v>
      </c>
    </row>
    <row r="17" spans="1:6" ht="14.25" x14ac:dyDescent="0.2">
      <c r="A17" s="108">
        <v>45002</v>
      </c>
      <c r="B17" s="716">
        <v>3108.53</v>
      </c>
    </row>
    <row r="18" spans="1:6" ht="14.25" x14ac:dyDescent="0.2">
      <c r="A18" s="108">
        <v>45003</v>
      </c>
      <c r="B18" s="716">
        <v>3108.53</v>
      </c>
    </row>
    <row r="19" spans="1:6" ht="14.25" x14ac:dyDescent="0.2">
      <c r="A19" s="108">
        <v>45004</v>
      </c>
      <c r="B19" s="716">
        <v>3108.53</v>
      </c>
    </row>
    <row r="20" spans="1:6" ht="14.25" x14ac:dyDescent="0.2">
      <c r="A20" s="108">
        <v>45005</v>
      </c>
      <c r="B20" s="716">
        <v>3108.53</v>
      </c>
    </row>
    <row r="21" spans="1:6" ht="14.25" x14ac:dyDescent="0.2">
      <c r="A21" s="108">
        <v>45006</v>
      </c>
      <c r="B21" s="716">
        <v>3108.53</v>
      </c>
    </row>
    <row r="22" spans="1:6" ht="14.25" x14ac:dyDescent="0.2">
      <c r="A22" s="108">
        <v>45007</v>
      </c>
      <c r="B22" s="716">
        <v>3108.53</v>
      </c>
    </row>
    <row r="23" spans="1:6" ht="14.25" x14ac:dyDescent="0.2">
      <c r="A23" s="108">
        <v>45008</v>
      </c>
      <c r="B23" s="716">
        <v>3108.53</v>
      </c>
    </row>
    <row r="24" spans="1:6" ht="14.25" x14ac:dyDescent="0.2">
      <c r="A24" s="108">
        <v>45009</v>
      </c>
      <c r="B24" s="716">
        <v>3108.53</v>
      </c>
    </row>
    <row r="25" spans="1:6" ht="14.25" x14ac:dyDescent="0.2">
      <c r="A25" s="108">
        <v>45010</v>
      </c>
      <c r="B25" s="716">
        <v>3108.53</v>
      </c>
      <c r="D25" t="s">
        <v>2703</v>
      </c>
      <c r="E25" t="s">
        <v>2704</v>
      </c>
      <c r="F25" t="s">
        <v>2705</v>
      </c>
    </row>
    <row r="26" spans="1:6" ht="14.25" x14ac:dyDescent="0.2">
      <c r="A26" s="108">
        <v>45011</v>
      </c>
      <c r="B26" s="716">
        <v>0</v>
      </c>
      <c r="D26" s="390">
        <v>2.5000000000000001E-2</v>
      </c>
      <c r="E26" s="390">
        <v>8.9999999999999993E-3</v>
      </c>
      <c r="F26" s="390">
        <v>1.5E-3</v>
      </c>
    </row>
    <row r="27" spans="1:6" ht="14.25" x14ac:dyDescent="0.2">
      <c r="A27" s="108">
        <v>45012</v>
      </c>
      <c r="B27" s="716">
        <v>0</v>
      </c>
      <c r="D27">
        <f>$B$32*D26</f>
        <v>73.722249999999988</v>
      </c>
      <c r="E27" s="713">
        <f t="shared" ref="E27:F27" si="0">$B$32*E26</f>
        <v>26.540009999999992</v>
      </c>
      <c r="F27" s="713">
        <f t="shared" si="0"/>
        <v>4.4233349999999989</v>
      </c>
    </row>
    <row r="28" spans="1:6" ht="14.25" x14ac:dyDescent="0.2">
      <c r="A28" s="108">
        <v>45013</v>
      </c>
      <c r="B28" s="716">
        <v>0</v>
      </c>
      <c r="D28" t="s">
        <v>2770</v>
      </c>
      <c r="E28" s="713" t="s">
        <v>2770</v>
      </c>
      <c r="F28" s="713" t="s">
        <v>2770</v>
      </c>
    </row>
    <row r="29" spans="1:6" ht="14.25" x14ac:dyDescent="0.2">
      <c r="A29" s="108">
        <v>45014</v>
      </c>
      <c r="B29" s="716">
        <v>0</v>
      </c>
      <c r="D29">
        <f>D27/365*31</f>
        <v>6.2613417808219163</v>
      </c>
      <c r="E29" s="713">
        <f t="shared" ref="E29:F29" si="1">E27/365*31</f>
        <v>2.2540830410958899</v>
      </c>
      <c r="F29" s="713">
        <f t="shared" si="1"/>
        <v>0.37568050684931498</v>
      </c>
    </row>
    <row r="30" spans="1:6" ht="14.25" x14ac:dyDescent="0.3">
      <c r="A30" s="108">
        <v>45015</v>
      </c>
      <c r="B30" s="715">
        <v>1320.88</v>
      </c>
    </row>
    <row r="31" spans="1:6" ht="14.25" x14ac:dyDescent="0.3">
      <c r="A31" s="108">
        <v>45016</v>
      </c>
      <c r="B31" s="715">
        <v>2321</v>
      </c>
    </row>
    <row r="32" spans="1:6" x14ac:dyDescent="0.2">
      <c r="B32" s="285">
        <f>AVERAGE(B1:B31)</f>
        <v>2948.8899999999994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8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82" bestFit="1" customWidth="1"/>
    <col min="6" max="6" width="5.5703125" style="712" bestFit="1" customWidth="1"/>
    <col min="7" max="8" width="9.7109375" bestFit="1" customWidth="1"/>
    <col min="9" max="9" width="21.140625" bestFit="1" customWidth="1"/>
  </cols>
  <sheetData>
    <row r="2" spans="2:9" s="682" customFormat="1" ht="25.5" x14ac:dyDescent="0.2">
      <c r="B2" s="684" t="s">
        <v>2735</v>
      </c>
      <c r="C2" s="684" t="s">
        <v>311</v>
      </c>
      <c r="D2" s="685" t="s">
        <v>2739</v>
      </c>
      <c r="E2" s="686" t="s">
        <v>2736</v>
      </c>
      <c r="F2" s="686" t="s">
        <v>2772</v>
      </c>
      <c r="G2" s="686" t="s">
        <v>2737</v>
      </c>
      <c r="H2" s="684" t="s">
        <v>460</v>
      </c>
      <c r="I2" s="683" t="s">
        <v>2734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17" t="s">
        <v>2771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18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9" t="s">
        <v>2771</v>
      </c>
      <c r="G5" s="227">
        <f>SUM(B5:E5)</f>
        <v>112574</v>
      </c>
      <c r="H5" s="81">
        <v>43891</v>
      </c>
      <c r="I5" s="63"/>
    </row>
    <row r="6" spans="2:9" s="682" customFormat="1" x14ac:dyDescent="0.2">
      <c r="B6" s="227"/>
      <c r="C6" s="227"/>
      <c r="D6" s="227"/>
      <c r="E6" s="227"/>
      <c r="F6" s="718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9" t="s">
        <v>2771</v>
      </c>
      <c r="G7" s="227">
        <f>SUM(B7:E7)</f>
        <v>112225.48</v>
      </c>
      <c r="H7" s="81">
        <v>44195</v>
      </c>
      <c r="I7" s="63" t="s">
        <v>2740</v>
      </c>
    </row>
    <row r="8" spans="2:9" x14ac:dyDescent="0.2">
      <c r="B8" s="227"/>
      <c r="C8" s="227"/>
      <c r="D8" s="227"/>
      <c r="E8" s="227"/>
      <c r="F8" s="718"/>
      <c r="G8" s="227"/>
      <c r="H8" s="63"/>
      <c r="I8" s="63"/>
    </row>
    <row r="9" spans="2:9" ht="14.25" x14ac:dyDescent="0.2">
      <c r="B9" s="227">
        <f>$B$7</f>
        <v>13108.48</v>
      </c>
      <c r="C9" s="687">
        <v>5000</v>
      </c>
      <c r="D9" s="227">
        <v>84000</v>
      </c>
      <c r="E9" s="227">
        <v>8848</v>
      </c>
      <c r="F9" s="719" t="s">
        <v>2771</v>
      </c>
      <c r="G9" s="687">
        <f>SUM(B9:E9)</f>
        <v>110956.48</v>
      </c>
      <c r="H9" s="81">
        <v>44548</v>
      </c>
      <c r="I9" s="63"/>
    </row>
    <row r="10" spans="2:9" s="682" customFormat="1" x14ac:dyDescent="0.2">
      <c r="B10" s="227"/>
      <c r="C10" s="227" t="s">
        <v>2741</v>
      </c>
      <c r="D10" s="227"/>
      <c r="E10" s="227"/>
      <c r="F10" s="718"/>
      <c r="G10" s="227" t="s">
        <v>2742</v>
      </c>
      <c r="H10" s="81"/>
      <c r="I10" s="63"/>
    </row>
    <row r="11" spans="2:9" s="682" customFormat="1" x14ac:dyDescent="0.2">
      <c r="B11" s="227"/>
      <c r="C11" s="227"/>
      <c r="D11" s="227"/>
      <c r="E11" s="227"/>
      <c r="F11" s="718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9" t="s">
        <v>2771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9" t="s">
        <v>2771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9" t="s">
        <v>2771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9" t="s">
        <v>2771</v>
      </c>
      <c r="G15" s="227">
        <f t="shared" si="1"/>
        <v>108175.48</v>
      </c>
      <c r="H15" s="81">
        <v>44701</v>
      </c>
      <c r="I15" s="63" t="s">
        <v>2745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9" t="s">
        <v>2771</v>
      </c>
      <c r="G16" s="227">
        <f t="shared" si="1"/>
        <v>109985.48</v>
      </c>
      <c r="H16" s="81">
        <v>44728</v>
      </c>
      <c r="I16" s="63" t="s">
        <v>2746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9" t="s">
        <v>2771</v>
      </c>
      <c r="G17" s="227">
        <f t="shared" si="1"/>
        <v>105859.48</v>
      </c>
      <c r="H17" s="81">
        <v>44788</v>
      </c>
      <c r="I17" s="63" t="s">
        <v>2738</v>
      </c>
    </row>
    <row r="18" spans="2:9" s="682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9" t="s">
        <v>2771</v>
      </c>
      <c r="G18" s="227">
        <f t="shared" ref="G18:G19" si="2">SUM(B18:E18)</f>
        <v>102207.48</v>
      </c>
      <c r="H18" s="81">
        <v>44851</v>
      </c>
      <c r="I18" s="63"/>
    </row>
    <row r="19" spans="2:9" s="682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9" t="s">
        <v>2771</v>
      </c>
      <c r="G19" s="227">
        <f t="shared" si="2"/>
        <v>100303.48</v>
      </c>
      <c r="H19" s="81">
        <v>44880</v>
      </c>
      <c r="I19" s="63"/>
    </row>
    <row r="20" spans="2:9" s="682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9" t="s">
        <v>2771</v>
      </c>
      <c r="G20" s="227">
        <f>SUM(B20:E20)</f>
        <v>98359.48</v>
      </c>
      <c r="H20" s="81">
        <v>44910</v>
      </c>
      <c r="I20" s="63" t="s">
        <v>2738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9" t="s">
        <v>2771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29" t="s">
        <v>1897</v>
      </c>
      <c r="D3" s="829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30" t="s">
        <v>2080</v>
      </c>
      <c r="C2" s="830"/>
      <c r="D2" s="831" t="s">
        <v>1875</v>
      </c>
      <c r="E2" s="831"/>
      <c r="F2" s="471"/>
      <c r="G2" s="471"/>
      <c r="H2" s="378"/>
      <c r="I2" s="834" t="s">
        <v>2257</v>
      </c>
      <c r="J2" s="835"/>
      <c r="K2" s="835"/>
      <c r="L2" s="835"/>
      <c r="M2" s="835"/>
      <c r="N2" s="835"/>
      <c r="O2" s="836"/>
      <c r="P2" s="438"/>
      <c r="Q2" s="837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42" t="s">
        <v>2283</v>
      </c>
      <c r="G3" s="843"/>
      <c r="H3" s="378"/>
      <c r="I3" s="433"/>
      <c r="J3" s="472"/>
      <c r="K3" s="839" t="s">
        <v>2425</v>
      </c>
      <c r="L3" s="840"/>
      <c r="M3" s="841"/>
      <c r="N3" s="476"/>
      <c r="O3" s="430"/>
      <c r="P3" s="470"/>
      <c r="Q3" s="838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32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32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33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33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7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56" t="s">
        <v>124</v>
      </c>
      <c r="C1" s="756"/>
      <c r="D1" s="760" t="s">
        <v>292</v>
      </c>
      <c r="E1" s="760"/>
      <c r="F1" s="760" t="s">
        <v>341</v>
      </c>
      <c r="G1" s="760"/>
      <c r="H1" s="757" t="s">
        <v>127</v>
      </c>
      <c r="I1" s="757"/>
      <c r="J1" s="758" t="s">
        <v>292</v>
      </c>
      <c r="K1" s="758"/>
      <c r="L1" s="759" t="s">
        <v>520</v>
      </c>
      <c r="M1" s="759"/>
      <c r="N1" s="757" t="s">
        <v>146</v>
      </c>
      <c r="O1" s="757"/>
      <c r="P1" s="758" t="s">
        <v>293</v>
      </c>
      <c r="Q1" s="758"/>
      <c r="R1" s="759" t="s">
        <v>522</v>
      </c>
      <c r="S1" s="759"/>
      <c r="T1" s="745" t="s">
        <v>193</v>
      </c>
      <c r="U1" s="745"/>
      <c r="V1" s="758" t="s">
        <v>292</v>
      </c>
      <c r="W1" s="758"/>
      <c r="X1" s="747" t="s">
        <v>524</v>
      </c>
      <c r="Y1" s="747"/>
      <c r="Z1" s="745" t="s">
        <v>241</v>
      </c>
      <c r="AA1" s="745"/>
      <c r="AB1" s="746" t="s">
        <v>292</v>
      </c>
      <c r="AC1" s="746"/>
      <c r="AD1" s="755" t="s">
        <v>524</v>
      </c>
      <c r="AE1" s="755"/>
      <c r="AF1" s="745" t="s">
        <v>367</v>
      </c>
      <c r="AG1" s="745"/>
      <c r="AH1" s="746" t="s">
        <v>292</v>
      </c>
      <c r="AI1" s="746"/>
      <c r="AJ1" s="747" t="s">
        <v>530</v>
      </c>
      <c r="AK1" s="747"/>
      <c r="AL1" s="745" t="s">
        <v>389</v>
      </c>
      <c r="AM1" s="745"/>
      <c r="AN1" s="753" t="s">
        <v>292</v>
      </c>
      <c r="AO1" s="753"/>
      <c r="AP1" s="751" t="s">
        <v>531</v>
      </c>
      <c r="AQ1" s="751"/>
      <c r="AR1" s="745" t="s">
        <v>416</v>
      </c>
      <c r="AS1" s="745"/>
      <c r="AV1" s="751" t="s">
        <v>285</v>
      </c>
      <c r="AW1" s="751"/>
      <c r="AX1" s="754" t="s">
        <v>998</v>
      </c>
      <c r="AY1" s="754"/>
      <c r="AZ1" s="754"/>
      <c r="BA1" s="208"/>
      <c r="BB1" s="749">
        <v>42942</v>
      </c>
      <c r="BC1" s="750"/>
      <c r="BD1" s="750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48" t="s">
        <v>261</v>
      </c>
      <c r="U4" s="748"/>
      <c r="X4" s="119" t="s">
        <v>233</v>
      </c>
      <c r="Y4" s="123">
        <f>Y3-Y6</f>
        <v>4.9669099999591708</v>
      </c>
      <c r="Z4" s="748" t="s">
        <v>262</v>
      </c>
      <c r="AA4" s="748"/>
      <c r="AD4" s="154" t="s">
        <v>233</v>
      </c>
      <c r="AE4" s="154">
        <f>AE3-AE5</f>
        <v>-52.526899999851594</v>
      </c>
      <c r="AF4" s="748" t="s">
        <v>262</v>
      </c>
      <c r="AG4" s="748"/>
      <c r="AH4" s="143"/>
      <c r="AI4" s="143"/>
      <c r="AJ4" s="154" t="s">
        <v>233</v>
      </c>
      <c r="AK4" s="154">
        <f>AK3-AK5</f>
        <v>94.988909999992757</v>
      </c>
      <c r="AL4" s="748" t="s">
        <v>262</v>
      </c>
      <c r="AM4" s="748"/>
      <c r="AP4" s="170" t="s">
        <v>233</v>
      </c>
      <c r="AQ4" s="174">
        <f>AQ3-AQ5</f>
        <v>33.841989999942598</v>
      </c>
      <c r="AR4" s="748" t="s">
        <v>262</v>
      </c>
      <c r="AS4" s="748"/>
      <c r="AX4" s="748" t="s">
        <v>564</v>
      </c>
      <c r="AY4" s="748"/>
      <c r="BB4" s="748" t="s">
        <v>567</v>
      </c>
      <c r="BC4" s="748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48"/>
      <c r="U5" s="748"/>
      <c r="V5" s="3" t="s">
        <v>258</v>
      </c>
      <c r="W5">
        <v>2050</v>
      </c>
      <c r="X5" s="82"/>
      <c r="Z5" s="748"/>
      <c r="AA5" s="748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48"/>
      <c r="AG5" s="748"/>
      <c r="AH5" s="143"/>
      <c r="AI5" s="143"/>
      <c r="AJ5" s="154" t="s">
        <v>352</v>
      </c>
      <c r="AK5" s="162">
        <f>SUM(AK11:AK59)</f>
        <v>30858.011000000002</v>
      </c>
      <c r="AL5" s="748"/>
      <c r="AM5" s="748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48"/>
      <c r="AS5" s="748"/>
      <c r="AX5" s="748"/>
      <c r="AY5" s="748"/>
      <c r="BB5" s="748"/>
      <c r="BC5" s="748"/>
      <c r="BD5" s="752" t="s">
        <v>999</v>
      </c>
      <c r="BE5" s="752"/>
      <c r="BF5" s="752"/>
      <c r="BG5" s="752"/>
      <c r="BH5" s="752"/>
      <c r="BI5" s="752"/>
      <c r="BJ5" s="752"/>
      <c r="BK5" s="752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61" t="s">
        <v>264</v>
      </c>
      <c r="W23" s="76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63"/>
      <c r="W24" s="76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2580</v>
      </c>
      <c r="E3" s="256"/>
      <c r="F3" s="256"/>
      <c r="G3" s="765" t="s">
        <v>2679</v>
      </c>
      <c r="H3" s="766"/>
      <c r="I3" s="594"/>
      <c r="J3" s="765" t="s">
        <v>2680</v>
      </c>
      <c r="K3" s="766"/>
      <c r="L3" s="299"/>
      <c r="M3" s="765">
        <v>43739</v>
      </c>
      <c r="N3" s="766"/>
      <c r="O3" s="765">
        <v>42401</v>
      </c>
      <c r="P3" s="766"/>
    </row>
    <row r="4" spans="2:16" x14ac:dyDescent="0.2">
      <c r="B4" s="63" t="s">
        <v>322</v>
      </c>
      <c r="C4" s="71" t="s">
        <v>2586</v>
      </c>
      <c r="D4" s="63" t="s">
        <v>1037</v>
      </c>
      <c r="E4" s="63" t="s">
        <v>309</v>
      </c>
      <c r="F4" s="63" t="s">
        <v>1183</v>
      </c>
      <c r="G4" s="598"/>
      <c r="H4" s="654">
        <f>K4</f>
        <v>20000</v>
      </c>
      <c r="I4" s="227"/>
      <c r="J4" s="598"/>
      <c r="K4" s="602">
        <f>N4</f>
        <v>20000</v>
      </c>
      <c r="L4" s="227"/>
      <c r="M4" s="598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2586</v>
      </c>
      <c r="D5" s="71" t="s">
        <v>1037</v>
      </c>
      <c r="E5" s="63" t="s">
        <v>2587</v>
      </c>
      <c r="F5" s="63" t="s">
        <v>1183</v>
      </c>
      <c r="G5" s="598"/>
      <c r="H5" s="227">
        <f>300*6</f>
        <v>1800</v>
      </c>
      <c r="I5" s="227"/>
      <c r="J5" s="598"/>
      <c r="K5" s="602">
        <f>N5</f>
        <v>1200</v>
      </c>
      <c r="L5" s="227"/>
      <c r="M5" s="598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2586</v>
      </c>
      <c r="D6" s="71" t="s">
        <v>1044</v>
      </c>
      <c r="E6" s="63" t="s">
        <v>2590</v>
      </c>
      <c r="F6" s="63" t="s">
        <v>1183</v>
      </c>
      <c r="G6" s="598" t="s">
        <v>2714</v>
      </c>
      <c r="H6" s="227">
        <v>32000</v>
      </c>
      <c r="I6" s="227"/>
      <c r="J6" s="598"/>
      <c r="K6" s="227">
        <v>0</v>
      </c>
      <c r="L6" s="227"/>
      <c r="M6" s="598"/>
      <c r="N6" s="227">
        <v>0</v>
      </c>
      <c r="O6" s="63"/>
      <c r="P6" s="63"/>
    </row>
    <row r="7" spans="2:16" s="591" customFormat="1" x14ac:dyDescent="0.2">
      <c r="B7" s="63" t="s">
        <v>315</v>
      </c>
      <c r="C7" s="71" t="s">
        <v>315</v>
      </c>
      <c r="D7" s="71" t="s">
        <v>1044</v>
      </c>
      <c r="E7" s="63" t="s">
        <v>2589</v>
      </c>
      <c r="F7" s="63" t="s">
        <v>1183</v>
      </c>
      <c r="G7" s="598"/>
      <c r="H7" s="227" t="s">
        <v>2713</v>
      </c>
      <c r="I7" s="227"/>
      <c r="J7" s="598"/>
      <c r="K7" s="227">
        <v>564</v>
      </c>
      <c r="L7" s="227"/>
      <c r="M7" s="598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2643</v>
      </c>
      <c r="F8" s="63" t="s">
        <v>1183</v>
      </c>
      <c r="G8" s="598"/>
      <c r="H8" s="227">
        <v>1500</v>
      </c>
      <c r="I8" s="227"/>
      <c r="J8" s="598"/>
      <c r="K8" s="227">
        <v>1642</v>
      </c>
      <c r="L8" s="227"/>
      <c r="M8" s="598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2591</v>
      </c>
      <c r="F9" s="63" t="s">
        <v>327</v>
      </c>
      <c r="G9" s="598"/>
      <c r="H9" s="227">
        <v>1500</v>
      </c>
      <c r="I9" s="227"/>
      <c r="J9" s="598"/>
      <c r="K9" s="227">
        <v>2031</v>
      </c>
      <c r="L9" s="227"/>
      <c r="M9" s="598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2592</v>
      </c>
      <c r="F10" s="63" t="s">
        <v>1183</v>
      </c>
      <c r="G10" s="598"/>
      <c r="H10" s="227">
        <f>14300+2000</f>
        <v>16300</v>
      </c>
      <c r="I10" s="227"/>
      <c r="J10" s="598"/>
      <c r="K10" s="227">
        <v>57781</v>
      </c>
      <c r="L10" s="227"/>
      <c r="M10" s="598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2571</v>
      </c>
      <c r="F11" s="63" t="s">
        <v>2575</v>
      </c>
      <c r="G11" s="598"/>
      <c r="H11" s="227" t="s">
        <v>2681</v>
      </c>
      <c r="I11" s="227"/>
      <c r="J11" s="598"/>
      <c r="K11" s="227">
        <v>-46000</v>
      </c>
      <c r="L11" s="227"/>
      <c r="M11" s="598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8"/>
      <c r="H12" s="227">
        <v>0</v>
      </c>
      <c r="I12" s="227"/>
      <c r="J12" s="598"/>
      <c r="K12" s="600">
        <f>N12</f>
        <v>20000</v>
      </c>
      <c r="L12" s="227"/>
      <c r="M12" s="598"/>
      <c r="N12" s="227">
        <v>20000</v>
      </c>
      <c r="O12" s="63"/>
      <c r="P12" s="63"/>
    </row>
    <row r="13" spans="2:16" s="633" customFormat="1" x14ac:dyDescent="0.2">
      <c r="B13" s="63" t="s">
        <v>315</v>
      </c>
      <c r="C13" s="71" t="s">
        <v>315</v>
      </c>
      <c r="D13" s="71" t="s">
        <v>1044</v>
      </c>
      <c r="E13" s="63" t="s">
        <v>2642</v>
      </c>
      <c r="F13" s="63" t="s">
        <v>1183</v>
      </c>
      <c r="G13" s="598"/>
      <c r="H13" s="227">
        <v>0</v>
      </c>
      <c r="I13" s="227"/>
      <c r="J13" s="598"/>
      <c r="K13" s="600"/>
      <c r="L13" s="227"/>
      <c r="M13" s="598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2677</v>
      </c>
      <c r="E14" s="63" t="s">
        <v>843</v>
      </c>
      <c r="F14" s="63" t="s">
        <v>1183</v>
      </c>
      <c r="G14" s="598"/>
      <c r="H14" s="654">
        <v>2500</v>
      </c>
      <c r="I14" s="227"/>
      <c r="J14" s="598"/>
      <c r="K14" s="602">
        <f>N14</f>
        <v>2500</v>
      </c>
      <c r="L14" s="227"/>
      <c r="M14" s="598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2677</v>
      </c>
      <c r="E15" s="63" t="s">
        <v>863</v>
      </c>
      <c r="F15" s="63" t="s">
        <v>1183</v>
      </c>
      <c r="G15" s="598"/>
      <c r="H15" s="654">
        <v>5000</v>
      </c>
      <c r="I15" s="227"/>
      <c r="J15" s="598"/>
      <c r="K15" s="602">
        <f>N15</f>
        <v>5000</v>
      </c>
      <c r="L15" s="227"/>
      <c r="M15" s="598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2677</v>
      </c>
      <c r="E16" s="63" t="s">
        <v>871</v>
      </c>
      <c r="F16" s="71" t="s">
        <v>1183</v>
      </c>
      <c r="G16" s="598"/>
      <c r="H16" s="227">
        <v>13400</v>
      </c>
      <c r="I16" s="227"/>
      <c r="J16" s="598"/>
      <c r="K16" s="227">
        <v>1300</v>
      </c>
      <c r="L16" s="227"/>
      <c r="M16" s="598"/>
      <c r="N16" s="227">
        <v>900</v>
      </c>
      <c r="O16" s="63"/>
      <c r="P16" s="63"/>
    </row>
    <row r="17" spans="2:16" s="592" customFormat="1" x14ac:dyDescent="0.2">
      <c r="B17" s="63" t="s">
        <v>322</v>
      </c>
      <c r="C17" s="71" t="s">
        <v>315</v>
      </c>
      <c r="D17" s="71" t="s">
        <v>2677</v>
      </c>
      <c r="E17" s="63" t="s">
        <v>2561</v>
      </c>
      <c r="F17" s="71" t="s">
        <v>1183</v>
      </c>
      <c r="G17" s="598"/>
      <c r="H17" s="654">
        <v>5000</v>
      </c>
      <c r="I17" s="227"/>
      <c r="J17" s="598"/>
      <c r="K17" s="602">
        <f>N17</f>
        <v>5000</v>
      </c>
      <c r="L17" s="227"/>
      <c r="M17" s="598"/>
      <c r="N17" s="227">
        <v>5000</v>
      </c>
      <c r="O17" s="63"/>
      <c r="P17" s="63"/>
    </row>
    <row r="18" spans="2:16" ht="13.15" customHeight="1" x14ac:dyDescent="0.2">
      <c r="B18" s="63"/>
      <c r="C18" s="771" t="s">
        <v>2596</v>
      </c>
      <c r="D18" s="71" t="s">
        <v>2677</v>
      </c>
      <c r="E18" s="63" t="s">
        <v>2582</v>
      </c>
      <c r="F18" s="63" t="s">
        <v>1183</v>
      </c>
      <c r="G18" s="598"/>
      <c r="H18" s="654">
        <f>N18</f>
        <v>90000</v>
      </c>
      <c r="I18" s="227"/>
      <c r="J18" s="598"/>
      <c r="K18" s="602">
        <f>N18</f>
        <v>90000</v>
      </c>
      <c r="L18" s="227"/>
      <c r="M18" s="598"/>
      <c r="N18" s="227">
        <v>90000</v>
      </c>
      <c r="O18" s="63"/>
      <c r="P18" s="227">
        <v>90000</v>
      </c>
    </row>
    <row r="19" spans="2:16" x14ac:dyDescent="0.2">
      <c r="B19" s="63"/>
      <c r="C19" s="772"/>
      <c r="D19" s="71" t="s">
        <v>2677</v>
      </c>
      <c r="E19" s="63" t="s">
        <v>2584</v>
      </c>
      <c r="F19" s="63" t="s">
        <v>1183</v>
      </c>
      <c r="G19" s="598"/>
      <c r="H19" s="227">
        <f>N19+169000</f>
        <v>439000</v>
      </c>
      <c r="I19" s="227"/>
      <c r="J19" s="598"/>
      <c r="K19" s="227">
        <f>N19+169000*40%</f>
        <v>337600</v>
      </c>
      <c r="L19" s="227"/>
      <c r="M19" s="598"/>
      <c r="N19" s="227">
        <v>270000</v>
      </c>
      <c r="O19" s="63"/>
      <c r="P19" s="63"/>
    </row>
    <row r="20" spans="2:16" x14ac:dyDescent="0.2">
      <c r="B20" s="63" t="s">
        <v>315</v>
      </c>
      <c r="C20" s="772"/>
      <c r="D20" s="71" t="s">
        <v>2677</v>
      </c>
      <c r="E20" s="63" t="s">
        <v>2583</v>
      </c>
      <c r="F20" s="63" t="s">
        <v>327</v>
      </c>
      <c r="G20" s="598">
        <f>750000-415000</f>
        <v>335000</v>
      </c>
      <c r="H20" s="227"/>
      <c r="I20" s="227"/>
      <c r="J20" s="603">
        <f>M20</f>
        <v>600000</v>
      </c>
      <c r="K20" s="227"/>
      <c r="L20" s="227"/>
      <c r="M20" s="599">
        <v>600000</v>
      </c>
      <c r="N20" s="227"/>
      <c r="O20" s="599">
        <f>600000-154000</f>
        <v>446000</v>
      </c>
      <c r="P20" s="63"/>
    </row>
    <row r="21" spans="2:16" x14ac:dyDescent="0.2">
      <c r="B21" s="63" t="s">
        <v>315</v>
      </c>
      <c r="C21" s="772"/>
      <c r="D21" s="71" t="s">
        <v>2677</v>
      </c>
      <c r="E21" s="63" t="s">
        <v>2581</v>
      </c>
      <c r="F21" s="63" t="s">
        <v>1183</v>
      </c>
      <c r="G21" s="653">
        <f>200000</f>
        <v>200000</v>
      </c>
      <c r="H21" s="227"/>
      <c r="I21" s="227"/>
      <c r="J21" s="603">
        <f>M21</f>
        <v>200000</v>
      </c>
      <c r="K21" s="227"/>
      <c r="L21" s="227"/>
      <c r="M21" s="599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772"/>
      <c r="D22" s="71" t="s">
        <v>1038</v>
      </c>
      <c r="E22" s="63" t="s">
        <v>1185</v>
      </c>
      <c r="F22" s="63" t="s">
        <v>1184</v>
      </c>
      <c r="G22" s="599">
        <f>1000+15000+18000</f>
        <v>34000</v>
      </c>
      <c r="H22" s="227"/>
      <c r="I22" s="227"/>
      <c r="J22" s="599">
        <f>37303+14272+15932</f>
        <v>67507</v>
      </c>
      <c r="K22" s="227"/>
      <c r="L22" s="227"/>
      <c r="M22" s="599">
        <f>(35+13+14)*1000</f>
        <v>62000</v>
      </c>
      <c r="N22" s="227"/>
      <c r="O22" s="722">
        <v>5000</v>
      </c>
      <c r="P22" s="63"/>
    </row>
    <row r="23" spans="2:16" x14ac:dyDescent="0.2">
      <c r="B23" s="63" t="s">
        <v>315</v>
      </c>
      <c r="C23" s="772"/>
      <c r="D23" s="71" t="s">
        <v>1044</v>
      </c>
      <c r="E23" s="63" t="s">
        <v>1036</v>
      </c>
      <c r="F23" s="63" t="s">
        <v>1183</v>
      </c>
      <c r="G23" s="652">
        <f>205000+68000</f>
        <v>273000</v>
      </c>
      <c r="H23" s="227"/>
      <c r="I23" s="227"/>
      <c r="J23" s="598">
        <f>57247+54415</f>
        <v>111662</v>
      </c>
      <c r="K23" s="227"/>
      <c r="L23" s="227"/>
      <c r="M23" s="598">
        <f>51797+50452</f>
        <v>102249</v>
      </c>
      <c r="N23" s="227"/>
      <c r="O23" s="599">
        <v>78000</v>
      </c>
      <c r="P23" s="63"/>
    </row>
    <row r="24" spans="2:16" x14ac:dyDescent="0.2">
      <c r="B24" s="63" t="s">
        <v>315</v>
      </c>
      <c r="C24" s="772"/>
      <c r="D24" s="71" t="s">
        <v>1044</v>
      </c>
      <c r="E24" s="63" t="s">
        <v>2564</v>
      </c>
      <c r="F24" s="63" t="s">
        <v>1183</v>
      </c>
      <c r="G24" s="601">
        <f>(113000+20000)+8000</f>
        <v>141000</v>
      </c>
      <c r="H24" s="227"/>
      <c r="I24" s="227"/>
      <c r="J24" s="599">
        <v>24201</v>
      </c>
      <c r="K24" s="227"/>
      <c r="L24" s="227"/>
      <c r="M24" s="599">
        <v>17000</v>
      </c>
      <c r="N24" s="227"/>
      <c r="O24" s="722">
        <v>142000</v>
      </c>
      <c r="P24" s="63"/>
    </row>
    <row r="25" spans="2:16" x14ac:dyDescent="0.2">
      <c r="B25" s="63" t="s">
        <v>322</v>
      </c>
      <c r="C25" s="772"/>
      <c r="D25" s="63" t="s">
        <v>1182</v>
      </c>
      <c r="E25" s="63" t="s">
        <v>1181</v>
      </c>
      <c r="F25" s="63" t="s">
        <v>1184</v>
      </c>
      <c r="G25" s="653">
        <v>5000</v>
      </c>
      <c r="H25" s="227"/>
      <c r="I25" s="227"/>
      <c r="J25" s="655">
        <v>5000</v>
      </c>
      <c r="K25" s="227"/>
      <c r="L25" s="227"/>
      <c r="M25" s="598">
        <v>5000</v>
      </c>
      <c r="N25" s="227"/>
      <c r="O25" s="63"/>
      <c r="P25" s="63"/>
    </row>
    <row r="26" spans="2:16" s="596" customFormat="1" x14ac:dyDescent="0.2">
      <c r="B26" s="63" t="s">
        <v>2562</v>
      </c>
      <c r="C26" s="773"/>
      <c r="D26" s="71" t="s">
        <v>2677</v>
      </c>
      <c r="E26" s="63" t="s">
        <v>2594</v>
      </c>
      <c r="F26" s="63" t="s">
        <v>327</v>
      </c>
      <c r="G26" s="599">
        <f>15000*3</f>
        <v>45000</v>
      </c>
      <c r="H26" s="227"/>
      <c r="I26" s="227"/>
      <c r="J26" s="603">
        <v>0</v>
      </c>
      <c r="K26" s="227"/>
      <c r="L26" s="227"/>
      <c r="M26" s="599">
        <v>0</v>
      </c>
      <c r="N26" s="227"/>
      <c r="O26" s="63"/>
      <c r="P26" s="63"/>
    </row>
    <row r="27" spans="2:16" x14ac:dyDescent="0.2">
      <c r="B27" s="63" t="s">
        <v>2562</v>
      </c>
      <c r="C27" s="71" t="s">
        <v>314</v>
      </c>
      <c r="D27" s="71" t="s">
        <v>2677</v>
      </c>
      <c r="E27" s="63" t="s">
        <v>2585</v>
      </c>
      <c r="F27" s="63" t="s">
        <v>1183</v>
      </c>
      <c r="G27" s="599" t="s">
        <v>2563</v>
      </c>
      <c r="H27" s="227"/>
      <c r="I27" s="227"/>
      <c r="J27" s="603">
        <f>M27</f>
        <v>20000</v>
      </c>
      <c r="K27" s="227"/>
      <c r="L27" s="227"/>
      <c r="M27" s="599">
        <v>20000</v>
      </c>
      <c r="N27" s="227"/>
      <c r="O27" s="599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2577</v>
      </c>
      <c r="F28" s="63" t="s">
        <v>1184</v>
      </c>
      <c r="G28" s="599">
        <v>1000</v>
      </c>
      <c r="H28" s="227" t="s">
        <v>2566</v>
      </c>
      <c r="I28" s="227"/>
      <c r="J28" s="599">
        <v>92574</v>
      </c>
      <c r="K28" s="227"/>
      <c r="L28" s="227"/>
      <c r="M28" s="599">
        <v>102000</v>
      </c>
      <c r="N28" s="227"/>
      <c r="O28" s="722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2677</v>
      </c>
      <c r="E29" s="63" t="s">
        <v>2573</v>
      </c>
      <c r="F29" s="63" t="s">
        <v>1183</v>
      </c>
      <c r="G29" s="599">
        <v>40000</v>
      </c>
      <c r="H29" s="227"/>
      <c r="I29" s="227"/>
      <c r="J29" s="599">
        <v>27907</v>
      </c>
      <c r="K29" s="227"/>
      <c r="L29" s="227"/>
      <c r="M29" s="599">
        <v>6000</v>
      </c>
      <c r="N29" s="227"/>
      <c r="O29" s="722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2579</v>
      </c>
      <c r="F30" s="63" t="s">
        <v>1183</v>
      </c>
      <c r="G30" s="599">
        <v>2000</v>
      </c>
      <c r="H30" s="227"/>
      <c r="I30" s="227"/>
      <c r="J30" s="599">
        <v>28176</v>
      </c>
      <c r="K30" s="227"/>
      <c r="L30" s="227"/>
      <c r="M30" s="599">
        <v>20000</v>
      </c>
      <c r="N30" s="227"/>
      <c r="O30" s="63"/>
      <c r="P30" s="63"/>
    </row>
    <row r="31" spans="2:16" s="592" customFormat="1" x14ac:dyDescent="0.2">
      <c r="B31" s="63" t="s">
        <v>315</v>
      </c>
      <c r="C31" s="71" t="s">
        <v>315</v>
      </c>
      <c r="D31" s="71" t="s">
        <v>1044</v>
      </c>
      <c r="E31" s="63" t="s">
        <v>2578</v>
      </c>
      <c r="F31" s="63" t="s">
        <v>1183</v>
      </c>
      <c r="G31" s="599">
        <f>176000</f>
        <v>176000</v>
      </c>
      <c r="H31" s="227"/>
      <c r="I31" s="227"/>
      <c r="J31" s="603">
        <v>0</v>
      </c>
      <c r="K31" s="227"/>
      <c r="L31" s="227"/>
      <c r="M31" s="599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7" t="s">
        <v>1882</v>
      </c>
      <c r="F32" s="63" t="s">
        <v>1184</v>
      </c>
      <c r="G32" s="601">
        <v>9000</v>
      </c>
      <c r="H32" s="227"/>
      <c r="I32" s="227"/>
      <c r="J32" s="599">
        <v>20000</v>
      </c>
      <c r="K32" s="227"/>
      <c r="L32" s="227"/>
      <c r="M32" s="599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774" t="s">
        <v>1182</v>
      </c>
      <c r="E33" s="617" t="s">
        <v>2644</v>
      </c>
      <c r="F33" s="183" t="s">
        <v>2616</v>
      </c>
      <c r="G33" s="601">
        <v>598000</v>
      </c>
      <c r="H33" s="227"/>
      <c r="I33" s="227"/>
      <c r="J33" s="599">
        <f>27564</f>
        <v>27564</v>
      </c>
      <c r="K33" s="227"/>
      <c r="L33" s="227"/>
      <c r="M33" s="599">
        <v>20000</v>
      </c>
      <c r="N33" s="227"/>
      <c r="O33" s="722">
        <v>20000</v>
      </c>
      <c r="P33" s="63"/>
    </row>
    <row r="34" spans="2:16" s="633" customFormat="1" x14ac:dyDescent="0.2">
      <c r="B34" s="63"/>
      <c r="C34" s="71"/>
      <c r="D34" s="775"/>
      <c r="E34" s="617" t="s">
        <v>2645</v>
      </c>
      <c r="F34" s="183" t="s">
        <v>1183</v>
      </c>
      <c r="G34" s="599">
        <f>-140000</f>
        <v>-140000</v>
      </c>
      <c r="H34" s="227"/>
      <c r="I34" s="227"/>
      <c r="J34" s="599"/>
      <c r="K34" s="227"/>
      <c r="L34" s="227"/>
      <c r="M34" s="599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2571</v>
      </c>
      <c r="F35" s="71" t="s">
        <v>2575</v>
      </c>
      <c r="G35" s="599" t="s">
        <v>2572</v>
      </c>
      <c r="H35" s="227"/>
      <c r="I35" s="227"/>
      <c r="J35" s="599">
        <v>-30000</v>
      </c>
      <c r="K35" s="227"/>
      <c r="L35" s="227"/>
      <c r="M35" s="599">
        <v>-40000</v>
      </c>
      <c r="N35" s="227"/>
      <c r="O35" s="599">
        <v>-30000</v>
      </c>
      <c r="P35" s="63"/>
    </row>
    <row r="36" spans="2:16" s="616" customFormat="1" x14ac:dyDescent="0.2">
      <c r="B36" s="63"/>
      <c r="C36" s="71"/>
      <c r="D36" s="71" t="s">
        <v>1037</v>
      </c>
      <c r="E36" s="617" t="s">
        <v>2619</v>
      </c>
      <c r="F36" s="183" t="s">
        <v>1183</v>
      </c>
      <c r="G36" s="601" t="s">
        <v>2674</v>
      </c>
      <c r="H36" s="227"/>
      <c r="I36" s="227"/>
      <c r="J36" s="603">
        <v>0</v>
      </c>
      <c r="K36" s="227"/>
      <c r="L36" s="227"/>
      <c r="M36" s="599">
        <v>0</v>
      </c>
      <c r="N36" s="227"/>
      <c r="O36" s="63"/>
      <c r="P36" s="63"/>
    </row>
    <row r="37" spans="2:16" s="630" customFormat="1" x14ac:dyDescent="0.2">
      <c r="B37" s="63" t="s">
        <v>315</v>
      </c>
      <c r="C37" s="71" t="s">
        <v>315</v>
      </c>
      <c r="D37" s="71" t="s">
        <v>1182</v>
      </c>
      <c r="E37" s="617" t="s">
        <v>2641</v>
      </c>
      <c r="F37" s="63" t="s">
        <v>1183</v>
      </c>
      <c r="G37" s="599">
        <v>16000</v>
      </c>
      <c r="H37" s="227"/>
      <c r="I37" s="227"/>
      <c r="J37" s="599"/>
      <c r="K37" s="227"/>
      <c r="L37" s="227"/>
      <c r="M37" s="599"/>
      <c r="N37" s="227"/>
      <c r="O37" s="63"/>
      <c r="P37" s="63"/>
    </row>
    <row r="38" spans="2:16" s="616" customFormat="1" x14ac:dyDescent="0.2">
      <c r="B38" s="63"/>
      <c r="C38" s="71"/>
      <c r="D38" s="71"/>
      <c r="E38" s="63" t="s">
        <v>2617</v>
      </c>
      <c r="F38" s="71" t="s">
        <v>2575</v>
      </c>
      <c r="G38" s="599" t="s">
        <v>2618</v>
      </c>
      <c r="H38" s="227"/>
      <c r="I38" s="227"/>
      <c r="J38" s="599" t="s">
        <v>427</v>
      </c>
      <c r="K38" s="227"/>
      <c r="L38" s="227"/>
      <c r="M38" s="599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2574</v>
      </c>
      <c r="F39" s="63" t="s">
        <v>1184</v>
      </c>
      <c r="G39" s="599" t="s">
        <v>330</v>
      </c>
      <c r="H39" s="227"/>
      <c r="I39" s="227"/>
      <c r="J39" s="599" t="s">
        <v>330</v>
      </c>
      <c r="K39" s="227"/>
      <c r="L39" s="227"/>
      <c r="M39" s="599" t="s">
        <v>330</v>
      </c>
      <c r="N39" s="227"/>
      <c r="O39" s="63"/>
      <c r="P39" s="63"/>
    </row>
    <row r="40" spans="2:16" x14ac:dyDescent="0.2">
      <c r="E40" s="207"/>
      <c r="F40" s="207" t="s">
        <v>2570</v>
      </c>
      <c r="G40" s="114">
        <f>SUM(G4:G39)</f>
        <v>1735000</v>
      </c>
      <c r="H40" s="595">
        <f>SUM(H4:H39)</f>
        <v>628000</v>
      </c>
      <c r="J40" s="114">
        <f>SUM(J4:J39)</f>
        <v>1194591</v>
      </c>
      <c r="K40" s="595">
        <f>SUM(K4:K39)</f>
        <v>498618</v>
      </c>
      <c r="M40" s="114">
        <f>SUM(M4:M39)</f>
        <v>1114249</v>
      </c>
      <c r="N40" s="595">
        <f>SUM(N4:N39)</f>
        <v>493000</v>
      </c>
      <c r="O40" s="114">
        <f>SUM(O4:O39)</f>
        <v>1006000</v>
      </c>
      <c r="P40" s="595">
        <f>SUM(P4:P39)</f>
        <v>231020</v>
      </c>
    </row>
    <row r="41" spans="2:16" s="592" customFormat="1" x14ac:dyDescent="0.2">
      <c r="E41" s="207"/>
      <c r="F41" s="207" t="s">
        <v>2620</v>
      </c>
      <c r="G41" s="114">
        <v>1735000</v>
      </c>
      <c r="H41" s="595">
        <v>628000</v>
      </c>
      <c r="I41" s="2"/>
      <c r="J41" s="114">
        <v>1194591</v>
      </c>
      <c r="K41" s="595">
        <v>498618</v>
      </c>
      <c r="L41" s="2"/>
      <c r="M41" s="114">
        <v>1114249</v>
      </c>
      <c r="N41" s="595">
        <v>493000</v>
      </c>
      <c r="O41" s="114">
        <v>1006000</v>
      </c>
      <c r="P41" s="595">
        <v>231202</v>
      </c>
    </row>
    <row r="42" spans="2:16" s="593" customFormat="1" x14ac:dyDescent="0.2">
      <c r="E42" s="597" t="s">
        <v>2593</v>
      </c>
      <c r="F42" s="202">
        <v>1.33</v>
      </c>
      <c r="G42" s="114"/>
      <c r="H42" s="114" t="s">
        <v>2565</v>
      </c>
      <c r="I42" s="2"/>
      <c r="J42" s="114"/>
      <c r="K42" s="595"/>
      <c r="L42" s="2"/>
    </row>
    <row r="43" spans="2:16" s="593" customFormat="1" x14ac:dyDescent="0.2">
      <c r="E43" s="207"/>
      <c r="F43" s="207" t="s">
        <v>2675</v>
      </c>
      <c r="G43" s="770">
        <f>G40/F42+H40</f>
        <v>1932511.2781954887</v>
      </c>
      <c r="H43" s="770"/>
      <c r="I43" s="2"/>
      <c r="J43" s="114"/>
      <c r="K43" s="2"/>
      <c r="L43" s="2"/>
      <c r="M43" s="114"/>
      <c r="N43" s="2"/>
    </row>
    <row r="44" spans="2:16" s="593" customFormat="1" x14ac:dyDescent="0.2">
      <c r="E44" s="207"/>
      <c r="F44" s="207" t="s">
        <v>2676</v>
      </c>
      <c r="G44" s="769">
        <f>H40*F42+G40</f>
        <v>2570240</v>
      </c>
      <c r="H44" s="769"/>
      <c r="I44" s="2"/>
      <c r="J44" s="769">
        <f>K40*1.37+J40</f>
        <v>1877697.6600000001</v>
      </c>
      <c r="K44" s="769"/>
      <c r="L44" s="2"/>
      <c r="M44" s="769">
        <f>N40*1.37+M40</f>
        <v>1789659</v>
      </c>
      <c r="N44" s="769"/>
      <c r="O44" s="769">
        <f>P40*1.36+O40</f>
        <v>1320187.2</v>
      </c>
      <c r="P44" s="769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68" t="s">
        <v>1186</v>
      </c>
      <c r="C47" s="768"/>
      <c r="D47" s="768"/>
      <c r="E47" s="768"/>
      <c r="F47" s="768"/>
      <c r="G47" s="768"/>
      <c r="H47" s="768"/>
      <c r="I47" s="768"/>
      <c r="J47" s="768"/>
      <c r="K47" s="768"/>
      <c r="L47" s="768"/>
      <c r="M47" s="768"/>
      <c r="N47" s="768"/>
    </row>
    <row r="48" spans="2:16" x14ac:dyDescent="0.2">
      <c r="B48" s="768" t="s">
        <v>2569</v>
      </c>
      <c r="C48" s="768"/>
      <c r="D48" s="768"/>
      <c r="E48" s="768"/>
      <c r="F48" s="768"/>
      <c r="G48" s="768"/>
      <c r="H48" s="768"/>
      <c r="I48" s="768"/>
      <c r="J48" s="768"/>
      <c r="K48" s="768"/>
      <c r="L48" s="768"/>
      <c r="M48" s="768"/>
      <c r="N48" s="768"/>
    </row>
    <row r="49" spans="2:14" x14ac:dyDescent="0.2">
      <c r="B49" s="768" t="s">
        <v>2568</v>
      </c>
      <c r="C49" s="768"/>
      <c r="D49" s="768"/>
      <c r="E49" s="768"/>
      <c r="F49" s="768"/>
      <c r="G49" s="768"/>
      <c r="H49" s="768"/>
      <c r="I49" s="768"/>
      <c r="J49" s="768"/>
      <c r="K49" s="768"/>
      <c r="L49" s="768"/>
      <c r="M49" s="768"/>
      <c r="N49" s="768"/>
    </row>
    <row r="50" spans="2:14" x14ac:dyDescent="0.2">
      <c r="B50" s="767" t="s">
        <v>2567</v>
      </c>
      <c r="C50" s="767"/>
      <c r="D50" s="767"/>
      <c r="E50" s="767"/>
      <c r="F50" s="767"/>
      <c r="G50" s="767"/>
      <c r="H50" s="767"/>
      <c r="I50" s="767"/>
      <c r="J50" s="767"/>
      <c r="K50" s="767"/>
      <c r="L50" s="767"/>
      <c r="M50" s="767"/>
      <c r="N50" s="767"/>
    </row>
    <row r="51" spans="2:14" x14ac:dyDescent="0.2">
      <c r="B51" s="767"/>
      <c r="C51" s="767"/>
      <c r="D51" s="767"/>
      <c r="E51" s="767"/>
      <c r="F51" s="767"/>
      <c r="G51" s="767"/>
      <c r="H51" s="767"/>
      <c r="I51" s="767"/>
      <c r="J51" s="767"/>
      <c r="K51" s="767"/>
      <c r="L51" s="767"/>
      <c r="M51" s="767"/>
      <c r="N51" s="767"/>
    </row>
    <row r="52" spans="2:14" x14ac:dyDescent="0.2">
      <c r="B52" s="767"/>
      <c r="C52" s="767"/>
      <c r="D52" s="767"/>
      <c r="E52" s="767"/>
      <c r="F52" s="767"/>
      <c r="G52" s="767"/>
      <c r="H52" s="767"/>
      <c r="I52" s="767"/>
      <c r="J52" s="767"/>
      <c r="K52" s="767"/>
      <c r="L52" s="767"/>
      <c r="M52" s="767"/>
      <c r="N52" s="76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31" bestFit="1" customWidth="1"/>
    <col min="3" max="3" width="11.5703125" style="644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41"/>
    </row>
    <row r="2" spans="2:10" x14ac:dyDescent="0.2">
      <c r="B2" s="638" t="s">
        <v>461</v>
      </c>
      <c r="C2" s="642" t="s">
        <v>460</v>
      </c>
      <c r="D2" s="637" t="s">
        <v>456</v>
      </c>
      <c r="E2" s="638" t="s">
        <v>455</v>
      </c>
      <c r="F2" s="636" t="s">
        <v>457</v>
      </c>
      <c r="G2" s="639" t="s">
        <v>2647</v>
      </c>
      <c r="H2" s="639" t="s">
        <v>458</v>
      </c>
    </row>
    <row r="3" spans="2:10" x14ac:dyDescent="0.2">
      <c r="B3" s="63"/>
      <c r="C3" s="643"/>
      <c r="D3" s="63"/>
      <c r="E3" s="90"/>
      <c r="F3" s="90"/>
      <c r="G3" s="90"/>
      <c r="H3" s="90"/>
    </row>
    <row r="4" spans="2:10" x14ac:dyDescent="0.2">
      <c r="B4" s="63" t="s">
        <v>2656</v>
      </c>
      <c r="C4" s="643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2654</v>
      </c>
      <c r="C5" s="643">
        <v>44561</v>
      </c>
      <c r="D5" s="63" t="s">
        <v>2662</v>
      </c>
      <c r="E5" s="90">
        <v>505987.67999999993</v>
      </c>
      <c r="F5" s="63" t="s">
        <v>2662</v>
      </c>
      <c r="G5" s="90"/>
      <c r="H5" s="90"/>
      <c r="J5" s="52"/>
    </row>
    <row r="6" spans="2:10" s="635" customFormat="1" x14ac:dyDescent="0.2">
      <c r="B6" s="63" t="s">
        <v>915</v>
      </c>
      <c r="C6" s="643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5" customFormat="1" x14ac:dyDescent="0.2">
      <c r="B7" s="63" t="s">
        <v>915</v>
      </c>
      <c r="C7" s="643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5" customFormat="1" x14ac:dyDescent="0.2">
      <c r="B8" s="63" t="s">
        <v>2650</v>
      </c>
      <c r="C8" s="643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5" customFormat="1" x14ac:dyDescent="0.2">
      <c r="B9" s="63" t="s">
        <v>2650</v>
      </c>
      <c r="C9" s="643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5" customFormat="1" x14ac:dyDescent="0.2">
      <c r="B10" s="63" t="s">
        <v>2650</v>
      </c>
      <c r="C10" s="643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5" customFormat="1" x14ac:dyDescent="0.2">
      <c r="B11" s="63" t="s">
        <v>2650</v>
      </c>
      <c r="C11" s="643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5" customFormat="1" x14ac:dyDescent="0.2">
      <c r="B12" s="63" t="s">
        <v>2650</v>
      </c>
      <c r="C12" s="643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4" customFormat="1" x14ac:dyDescent="0.2">
      <c r="B13" s="63" t="s">
        <v>2650</v>
      </c>
      <c r="C13" s="643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4" customFormat="1" x14ac:dyDescent="0.2">
      <c r="B14" s="63" t="s">
        <v>2650</v>
      </c>
      <c r="C14" s="643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4" customFormat="1" x14ac:dyDescent="0.2">
      <c r="B15" s="63" t="s">
        <v>2650</v>
      </c>
      <c r="C15" s="643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4" customFormat="1" x14ac:dyDescent="0.2">
      <c r="B16" s="63" t="s">
        <v>2650</v>
      </c>
      <c r="C16" s="643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9" customFormat="1" x14ac:dyDescent="0.2">
      <c r="B17" s="63" t="s">
        <v>2650</v>
      </c>
      <c r="C17" s="643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9" customFormat="1" x14ac:dyDescent="0.2">
      <c r="B18" s="63" t="s">
        <v>2649</v>
      </c>
      <c r="C18" s="643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9" customFormat="1" x14ac:dyDescent="0.2">
      <c r="B19" s="63" t="s">
        <v>2646</v>
      </c>
      <c r="C19" s="643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9" customFormat="1" x14ac:dyDescent="0.2">
      <c r="B20" s="63" t="s">
        <v>2651</v>
      </c>
      <c r="C20" s="643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2648</v>
      </c>
      <c r="C21" s="643">
        <v>43710</v>
      </c>
      <c r="D21" s="646">
        <v>1740000</v>
      </c>
      <c r="E21" s="90">
        <f t="shared" si="0"/>
        <v>1090821.68</v>
      </c>
      <c r="F21" s="632">
        <v>1740000</v>
      </c>
      <c r="G21" s="90">
        <v>46524</v>
      </c>
      <c r="H21" s="90">
        <f>F21/G21</f>
        <v>37.400051586278053</v>
      </c>
    </row>
    <row r="22" spans="2:11" s="629" customFormat="1" x14ac:dyDescent="0.2">
      <c r="B22" s="183"/>
      <c r="C22" s="643">
        <v>43553</v>
      </c>
      <c r="D22" s="647"/>
      <c r="E22" s="90">
        <f t="shared" si="0"/>
        <v>1090821.68</v>
      </c>
      <c r="F22" s="632">
        <v>100</v>
      </c>
      <c r="G22" s="90"/>
      <c r="H22" s="90"/>
    </row>
    <row r="23" spans="2:11" x14ac:dyDescent="0.2">
      <c r="B23" s="63" t="s">
        <v>1031</v>
      </c>
      <c r="C23" s="643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9" customFormat="1" x14ac:dyDescent="0.2">
      <c r="B24" s="63" t="s">
        <v>2661</v>
      </c>
      <c r="C24" s="643">
        <v>43100</v>
      </c>
      <c r="D24" s="63" t="s">
        <v>2662</v>
      </c>
      <c r="E24" s="90">
        <v>705314.48</v>
      </c>
      <c r="F24" s="63" t="s">
        <v>2662</v>
      </c>
      <c r="G24" s="90"/>
      <c r="H24" s="90"/>
      <c r="K24" s="52"/>
    </row>
    <row r="25" spans="2:11" x14ac:dyDescent="0.2">
      <c r="B25" s="63" t="s">
        <v>2659</v>
      </c>
      <c r="C25" s="643" t="s">
        <v>2640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40" customFormat="1" x14ac:dyDescent="0.2">
      <c r="B26" s="63" t="s">
        <v>2655</v>
      </c>
      <c r="C26" s="643" t="s">
        <v>2660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3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3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3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3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3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3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3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3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2657</v>
      </c>
      <c r="C35" s="643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2658</v>
      </c>
      <c r="C36" s="643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3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40" customFormat="1" x14ac:dyDescent="0.2">
      <c r="B38" s="63"/>
      <c r="C38" s="643"/>
      <c r="D38" s="63"/>
      <c r="E38" s="777" t="s">
        <v>2665</v>
      </c>
      <c r="F38" s="778"/>
      <c r="G38" s="90"/>
      <c r="H38" s="90"/>
    </row>
    <row r="39" spans="2:8" x14ac:dyDescent="0.2">
      <c r="B39" s="63" t="s">
        <v>2663</v>
      </c>
      <c r="C39" s="643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2664</v>
      </c>
    </row>
    <row r="41" spans="2:8" ht="18" x14ac:dyDescent="0.25">
      <c r="B41" s="776" t="s">
        <v>989</v>
      </c>
      <c r="C41" s="776"/>
      <c r="D41" s="776"/>
      <c r="E41" s="776"/>
      <c r="F41" s="776"/>
      <c r="G41" s="776"/>
      <c r="H41" s="77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56" t="s">
        <v>909</v>
      </c>
      <c r="C1" s="756"/>
      <c r="D1" s="755" t="s">
        <v>515</v>
      </c>
      <c r="E1" s="755"/>
      <c r="F1" s="756" t="s">
        <v>513</v>
      </c>
      <c r="G1" s="756"/>
      <c r="H1" s="779" t="s">
        <v>549</v>
      </c>
      <c r="I1" s="779"/>
      <c r="J1" s="755" t="s">
        <v>515</v>
      </c>
      <c r="K1" s="755"/>
      <c r="L1" s="756" t="s">
        <v>908</v>
      </c>
      <c r="M1" s="756"/>
      <c r="N1" s="779" t="s">
        <v>549</v>
      </c>
      <c r="O1" s="779"/>
      <c r="P1" s="755" t="s">
        <v>515</v>
      </c>
      <c r="Q1" s="755"/>
      <c r="R1" s="756" t="s">
        <v>552</v>
      </c>
      <c r="S1" s="756"/>
      <c r="T1" s="779" t="s">
        <v>549</v>
      </c>
      <c r="U1" s="779"/>
      <c r="V1" s="755" t="s">
        <v>515</v>
      </c>
      <c r="W1" s="755"/>
      <c r="X1" s="756" t="s">
        <v>907</v>
      </c>
      <c r="Y1" s="756"/>
      <c r="Z1" s="779" t="s">
        <v>549</v>
      </c>
      <c r="AA1" s="779"/>
      <c r="AB1" s="755" t="s">
        <v>515</v>
      </c>
      <c r="AC1" s="755"/>
      <c r="AD1" s="756" t="s">
        <v>591</v>
      </c>
      <c r="AE1" s="756"/>
      <c r="AF1" s="779" t="s">
        <v>549</v>
      </c>
      <c r="AG1" s="779"/>
      <c r="AH1" s="755" t="s">
        <v>515</v>
      </c>
      <c r="AI1" s="755"/>
      <c r="AJ1" s="756" t="s">
        <v>906</v>
      </c>
      <c r="AK1" s="756"/>
      <c r="AL1" s="779" t="s">
        <v>626</v>
      </c>
      <c r="AM1" s="779"/>
      <c r="AN1" s="755" t="s">
        <v>627</v>
      </c>
      <c r="AO1" s="755"/>
      <c r="AP1" s="756" t="s">
        <v>621</v>
      </c>
      <c r="AQ1" s="756"/>
      <c r="AR1" s="779" t="s">
        <v>549</v>
      </c>
      <c r="AS1" s="779"/>
      <c r="AT1" s="755" t="s">
        <v>515</v>
      </c>
      <c r="AU1" s="755"/>
      <c r="AV1" s="756" t="s">
        <v>905</v>
      </c>
      <c r="AW1" s="756"/>
      <c r="AX1" s="779" t="s">
        <v>549</v>
      </c>
      <c r="AY1" s="779"/>
      <c r="AZ1" s="755" t="s">
        <v>515</v>
      </c>
      <c r="BA1" s="755"/>
      <c r="BB1" s="756" t="s">
        <v>653</v>
      </c>
      <c r="BC1" s="756"/>
      <c r="BD1" s="779" t="s">
        <v>549</v>
      </c>
      <c r="BE1" s="779"/>
      <c r="BF1" s="755" t="s">
        <v>515</v>
      </c>
      <c r="BG1" s="755"/>
      <c r="BH1" s="756" t="s">
        <v>904</v>
      </c>
      <c r="BI1" s="756"/>
      <c r="BJ1" s="779" t="s">
        <v>549</v>
      </c>
      <c r="BK1" s="779"/>
      <c r="BL1" s="755" t="s">
        <v>515</v>
      </c>
      <c r="BM1" s="755"/>
      <c r="BN1" s="756" t="s">
        <v>921</v>
      </c>
      <c r="BO1" s="756"/>
      <c r="BP1" s="779" t="s">
        <v>549</v>
      </c>
      <c r="BQ1" s="779"/>
      <c r="BR1" s="755" t="s">
        <v>515</v>
      </c>
      <c r="BS1" s="755"/>
      <c r="BT1" s="756" t="s">
        <v>903</v>
      </c>
      <c r="BU1" s="756"/>
      <c r="BV1" s="779" t="s">
        <v>704</v>
      </c>
      <c r="BW1" s="779"/>
      <c r="BX1" s="755" t="s">
        <v>705</v>
      </c>
      <c r="BY1" s="755"/>
      <c r="BZ1" s="756" t="s">
        <v>703</v>
      </c>
      <c r="CA1" s="756"/>
      <c r="CB1" s="779" t="s">
        <v>730</v>
      </c>
      <c r="CC1" s="779"/>
      <c r="CD1" s="755" t="s">
        <v>731</v>
      </c>
      <c r="CE1" s="755"/>
      <c r="CF1" s="756" t="s">
        <v>902</v>
      </c>
      <c r="CG1" s="756"/>
      <c r="CH1" s="779" t="s">
        <v>730</v>
      </c>
      <c r="CI1" s="779"/>
      <c r="CJ1" s="755" t="s">
        <v>731</v>
      </c>
      <c r="CK1" s="755"/>
      <c r="CL1" s="756" t="s">
        <v>748</v>
      </c>
      <c r="CM1" s="756"/>
      <c r="CN1" s="779" t="s">
        <v>730</v>
      </c>
      <c r="CO1" s="779"/>
      <c r="CP1" s="755" t="s">
        <v>731</v>
      </c>
      <c r="CQ1" s="755"/>
      <c r="CR1" s="756" t="s">
        <v>901</v>
      </c>
      <c r="CS1" s="756"/>
      <c r="CT1" s="779" t="s">
        <v>730</v>
      </c>
      <c r="CU1" s="779"/>
      <c r="CV1" s="783" t="s">
        <v>731</v>
      </c>
      <c r="CW1" s="783"/>
      <c r="CX1" s="756" t="s">
        <v>769</v>
      </c>
      <c r="CY1" s="756"/>
      <c r="CZ1" s="779" t="s">
        <v>730</v>
      </c>
      <c r="DA1" s="779"/>
      <c r="DB1" s="783" t="s">
        <v>731</v>
      </c>
      <c r="DC1" s="783"/>
      <c r="DD1" s="756" t="s">
        <v>900</v>
      </c>
      <c r="DE1" s="756"/>
      <c r="DF1" s="779" t="s">
        <v>816</v>
      </c>
      <c r="DG1" s="779"/>
      <c r="DH1" s="783" t="s">
        <v>817</v>
      </c>
      <c r="DI1" s="783"/>
      <c r="DJ1" s="756" t="s">
        <v>809</v>
      </c>
      <c r="DK1" s="756"/>
      <c r="DL1" s="779" t="s">
        <v>816</v>
      </c>
      <c r="DM1" s="779"/>
      <c r="DN1" s="783" t="s">
        <v>731</v>
      </c>
      <c r="DO1" s="783"/>
      <c r="DP1" s="756" t="s">
        <v>899</v>
      </c>
      <c r="DQ1" s="756"/>
      <c r="DR1" s="779" t="s">
        <v>816</v>
      </c>
      <c r="DS1" s="779"/>
      <c r="DT1" s="783" t="s">
        <v>731</v>
      </c>
      <c r="DU1" s="783"/>
      <c r="DV1" s="756" t="s">
        <v>898</v>
      </c>
      <c r="DW1" s="756"/>
      <c r="DX1" s="779" t="s">
        <v>816</v>
      </c>
      <c r="DY1" s="779"/>
      <c r="DZ1" s="783" t="s">
        <v>731</v>
      </c>
      <c r="EA1" s="783"/>
      <c r="EB1" s="756" t="s">
        <v>897</v>
      </c>
      <c r="EC1" s="756"/>
      <c r="ED1" s="779" t="s">
        <v>816</v>
      </c>
      <c r="EE1" s="779"/>
      <c r="EF1" s="783" t="s">
        <v>731</v>
      </c>
      <c r="EG1" s="783"/>
      <c r="EH1" s="756" t="s">
        <v>883</v>
      </c>
      <c r="EI1" s="756"/>
      <c r="EJ1" s="779" t="s">
        <v>816</v>
      </c>
      <c r="EK1" s="779"/>
      <c r="EL1" s="783" t="s">
        <v>936</v>
      </c>
      <c r="EM1" s="783"/>
      <c r="EN1" s="756" t="s">
        <v>922</v>
      </c>
      <c r="EO1" s="756"/>
      <c r="EP1" s="779" t="s">
        <v>816</v>
      </c>
      <c r="EQ1" s="779"/>
      <c r="ER1" s="783" t="s">
        <v>950</v>
      </c>
      <c r="ES1" s="783"/>
      <c r="ET1" s="756" t="s">
        <v>937</v>
      </c>
      <c r="EU1" s="756"/>
      <c r="EV1" s="779" t="s">
        <v>816</v>
      </c>
      <c r="EW1" s="779"/>
      <c r="EX1" s="783" t="s">
        <v>530</v>
      </c>
      <c r="EY1" s="783"/>
      <c r="EZ1" s="756" t="s">
        <v>952</v>
      </c>
      <c r="FA1" s="756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782" t="s">
        <v>779</v>
      </c>
      <c r="CU7" s="756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782" t="s">
        <v>778</v>
      </c>
      <c r="DA8" s="756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782" t="s">
        <v>778</v>
      </c>
      <c r="DG8" s="756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782" t="s">
        <v>778</v>
      </c>
      <c r="DM8" s="756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782" t="s">
        <v>778</v>
      </c>
      <c r="DS8" s="756"/>
      <c r="DT8" s="142" t="s">
        <v>783</v>
      </c>
      <c r="DU8" s="142">
        <f>SUM(DU13:DU17)</f>
        <v>32</v>
      </c>
      <c r="DV8" s="63"/>
      <c r="DW8" s="63"/>
      <c r="DX8" s="782" t="s">
        <v>778</v>
      </c>
      <c r="DY8" s="75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82" t="s">
        <v>928</v>
      </c>
      <c r="EK8" s="75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782" t="s">
        <v>928</v>
      </c>
      <c r="EQ9" s="756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782" t="s">
        <v>928</v>
      </c>
      <c r="EW9" s="756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782" t="s">
        <v>928</v>
      </c>
      <c r="EE11" s="756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82" t="s">
        <v>778</v>
      </c>
      <c r="CU12" s="75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45" t="s">
        <v>782</v>
      </c>
      <c r="CU19" s="745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68" t="s">
        <v>858</v>
      </c>
      <c r="FA21" s="768"/>
      <c r="FC21" s="238">
        <f>FC20-FC22</f>
        <v>113457.16899999997</v>
      </c>
      <c r="FD21" s="230"/>
      <c r="FE21" s="784" t="s">
        <v>1546</v>
      </c>
      <c r="FF21" s="784"/>
      <c r="FG21" s="784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68" t="s">
        <v>871</v>
      </c>
      <c r="FA22" s="768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68" t="s">
        <v>1000</v>
      </c>
      <c r="FA23" s="768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68" t="s">
        <v>1076</v>
      </c>
      <c r="FA24" s="768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780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781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780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781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T77"/>
  <sheetViews>
    <sheetView tabSelected="1" topLeftCell="IU1" zoomScaleNormal="100" workbookViewId="0">
      <selection activeCell="JT26" sqref="JT26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3" customWidth="1"/>
    <col min="255" max="255" width="9.140625" style="573" bestFit="1" customWidth="1"/>
    <col min="256" max="256" width="15.85546875" style="573" customWidth="1"/>
    <col min="257" max="257" width="8.7109375" style="573" customWidth="1"/>
    <col min="258" max="258" width="18.28515625" style="573" customWidth="1"/>
    <col min="259" max="259" width="9.140625" style="573" bestFit="1" customWidth="1"/>
    <col min="260" max="260" width="14.5703125" style="621" customWidth="1"/>
    <col min="261" max="261" width="9.140625" style="621" bestFit="1" customWidth="1"/>
    <col min="262" max="262" width="15.85546875" style="621" customWidth="1"/>
    <col min="263" max="263" width="10.85546875" style="621" bestFit="1" customWidth="1"/>
    <col min="264" max="264" width="18" style="621" customWidth="1"/>
    <col min="265" max="265" width="8.140625" style="621" customWidth="1"/>
    <col min="266" max="266" width="14.5703125" style="670" customWidth="1"/>
    <col min="267" max="267" width="10.140625" style="670" bestFit="1" customWidth="1"/>
    <col min="268" max="268" width="16.85546875" style="670" customWidth="1"/>
    <col min="269" max="269" width="11.85546875" style="670" bestFit="1" customWidth="1"/>
    <col min="270" max="270" width="17.7109375" style="670" customWidth="1"/>
    <col min="271" max="271" width="8.140625" style="670" bestFit="1" customWidth="1"/>
    <col min="272" max="272" width="14.5703125" style="724" customWidth="1"/>
    <col min="273" max="273" width="10.140625" style="724" bestFit="1" customWidth="1"/>
    <col min="274" max="274" width="16.85546875" style="724" customWidth="1"/>
    <col min="275" max="275" width="11.85546875" style="724" bestFit="1" customWidth="1"/>
    <col min="276" max="276" width="17.7109375" style="724" customWidth="1"/>
    <col min="277" max="277" width="8.140625" style="724" bestFit="1" customWidth="1"/>
    <col min="278" max="278" width="7.140625" style="724" customWidth="1"/>
    <col min="279" max="279" width="9.5703125" style="724" bestFit="1" customWidth="1"/>
    <col min="280" max="280" width="21.140625" style="724" bestFit="1" customWidth="1"/>
  </cols>
  <sheetData>
    <row r="1" spans="1:280" s="142" customFormat="1" x14ac:dyDescent="0.2">
      <c r="A1" s="790" t="s">
        <v>1209</v>
      </c>
      <c r="B1" s="790"/>
      <c r="C1" s="753" t="s">
        <v>292</v>
      </c>
      <c r="D1" s="753"/>
      <c r="E1" s="751" t="s">
        <v>1010</v>
      </c>
      <c r="F1" s="751"/>
      <c r="G1" s="790" t="s">
        <v>1210</v>
      </c>
      <c r="H1" s="790"/>
      <c r="I1" s="753" t="s">
        <v>292</v>
      </c>
      <c r="J1" s="753"/>
      <c r="K1" s="751" t="s">
        <v>1011</v>
      </c>
      <c r="L1" s="751"/>
      <c r="M1" s="790" t="s">
        <v>1211</v>
      </c>
      <c r="N1" s="790"/>
      <c r="O1" s="753" t="s">
        <v>292</v>
      </c>
      <c r="P1" s="753"/>
      <c r="Q1" s="751" t="s">
        <v>1057</v>
      </c>
      <c r="R1" s="751"/>
      <c r="S1" s="790" t="s">
        <v>1212</v>
      </c>
      <c r="T1" s="790"/>
      <c r="U1" s="753" t="s">
        <v>292</v>
      </c>
      <c r="V1" s="753"/>
      <c r="W1" s="751" t="s">
        <v>627</v>
      </c>
      <c r="X1" s="751"/>
      <c r="Y1" s="790" t="s">
        <v>1213</v>
      </c>
      <c r="Z1" s="790"/>
      <c r="AA1" s="753" t="s">
        <v>292</v>
      </c>
      <c r="AB1" s="753"/>
      <c r="AC1" s="751" t="s">
        <v>1084</v>
      </c>
      <c r="AD1" s="751"/>
      <c r="AE1" s="790" t="s">
        <v>1214</v>
      </c>
      <c r="AF1" s="790"/>
      <c r="AG1" s="753" t="s">
        <v>292</v>
      </c>
      <c r="AH1" s="753"/>
      <c r="AI1" s="751" t="s">
        <v>1134</v>
      </c>
      <c r="AJ1" s="751"/>
      <c r="AK1" s="790" t="s">
        <v>1217</v>
      </c>
      <c r="AL1" s="790"/>
      <c r="AM1" s="753" t="s">
        <v>1132</v>
      </c>
      <c r="AN1" s="753"/>
      <c r="AO1" s="751" t="s">
        <v>1133</v>
      </c>
      <c r="AP1" s="751"/>
      <c r="AQ1" s="790" t="s">
        <v>1218</v>
      </c>
      <c r="AR1" s="790"/>
      <c r="AS1" s="753" t="s">
        <v>1132</v>
      </c>
      <c r="AT1" s="753"/>
      <c r="AU1" s="751" t="s">
        <v>1178</v>
      </c>
      <c r="AV1" s="751"/>
      <c r="AW1" s="790" t="s">
        <v>1215</v>
      </c>
      <c r="AX1" s="790"/>
      <c r="AY1" s="751" t="s">
        <v>1241</v>
      </c>
      <c r="AZ1" s="751"/>
      <c r="BA1" s="790" t="s">
        <v>1215</v>
      </c>
      <c r="BB1" s="790"/>
      <c r="BC1" s="753" t="s">
        <v>816</v>
      </c>
      <c r="BD1" s="753"/>
      <c r="BE1" s="751" t="s">
        <v>1208</v>
      </c>
      <c r="BF1" s="751"/>
      <c r="BG1" s="790" t="s">
        <v>1216</v>
      </c>
      <c r="BH1" s="790"/>
      <c r="BI1" s="753" t="s">
        <v>816</v>
      </c>
      <c r="BJ1" s="753"/>
      <c r="BK1" s="751" t="s">
        <v>1208</v>
      </c>
      <c r="BL1" s="751"/>
      <c r="BM1" s="790" t="s">
        <v>1226</v>
      </c>
      <c r="BN1" s="790"/>
      <c r="BO1" s="753" t="s">
        <v>816</v>
      </c>
      <c r="BP1" s="753"/>
      <c r="BQ1" s="751" t="s">
        <v>1244</v>
      </c>
      <c r="BR1" s="751"/>
      <c r="BS1" s="790" t="s">
        <v>1243</v>
      </c>
      <c r="BT1" s="790"/>
      <c r="BU1" s="753" t="s">
        <v>816</v>
      </c>
      <c r="BV1" s="753"/>
      <c r="BW1" s="751" t="s">
        <v>1248</v>
      </c>
      <c r="BX1" s="751"/>
      <c r="BY1" s="790" t="s">
        <v>1270</v>
      </c>
      <c r="BZ1" s="790"/>
      <c r="CA1" s="753" t="s">
        <v>816</v>
      </c>
      <c r="CB1" s="753"/>
      <c r="CC1" s="751" t="s">
        <v>1244</v>
      </c>
      <c r="CD1" s="751"/>
      <c r="CE1" s="790" t="s">
        <v>1291</v>
      </c>
      <c r="CF1" s="790"/>
      <c r="CG1" s="753" t="s">
        <v>816</v>
      </c>
      <c r="CH1" s="753"/>
      <c r="CI1" s="751" t="s">
        <v>1248</v>
      </c>
      <c r="CJ1" s="751"/>
      <c r="CK1" s="790" t="s">
        <v>1307</v>
      </c>
      <c r="CL1" s="790"/>
      <c r="CM1" s="753" t="s">
        <v>816</v>
      </c>
      <c r="CN1" s="753"/>
      <c r="CO1" s="751" t="s">
        <v>1244</v>
      </c>
      <c r="CP1" s="751"/>
      <c r="CQ1" s="790" t="s">
        <v>1335</v>
      </c>
      <c r="CR1" s="790"/>
      <c r="CS1" s="786" t="s">
        <v>816</v>
      </c>
      <c r="CT1" s="786"/>
      <c r="CU1" s="751" t="s">
        <v>1391</v>
      </c>
      <c r="CV1" s="751"/>
      <c r="CW1" s="790" t="s">
        <v>1374</v>
      </c>
      <c r="CX1" s="790"/>
      <c r="CY1" s="786" t="s">
        <v>816</v>
      </c>
      <c r="CZ1" s="786"/>
      <c r="DA1" s="751" t="s">
        <v>1597</v>
      </c>
      <c r="DB1" s="751"/>
      <c r="DC1" s="790" t="s">
        <v>1394</v>
      </c>
      <c r="DD1" s="790"/>
      <c r="DE1" s="786" t="s">
        <v>816</v>
      </c>
      <c r="DF1" s="786"/>
      <c r="DG1" s="751" t="s">
        <v>1491</v>
      </c>
      <c r="DH1" s="751"/>
      <c r="DI1" s="790" t="s">
        <v>1594</v>
      </c>
      <c r="DJ1" s="790"/>
      <c r="DK1" s="786" t="s">
        <v>816</v>
      </c>
      <c r="DL1" s="786"/>
      <c r="DM1" s="751" t="s">
        <v>1391</v>
      </c>
      <c r="DN1" s="751"/>
      <c r="DO1" s="790" t="s">
        <v>1595</v>
      </c>
      <c r="DP1" s="790"/>
      <c r="DQ1" s="786" t="s">
        <v>816</v>
      </c>
      <c r="DR1" s="786"/>
      <c r="DS1" s="751" t="s">
        <v>1590</v>
      </c>
      <c r="DT1" s="751"/>
      <c r="DU1" s="790" t="s">
        <v>1596</v>
      </c>
      <c r="DV1" s="790"/>
      <c r="DW1" s="786" t="s">
        <v>816</v>
      </c>
      <c r="DX1" s="786"/>
      <c r="DY1" s="751" t="s">
        <v>1616</v>
      </c>
      <c r="DZ1" s="751"/>
      <c r="EA1" s="785" t="s">
        <v>1611</v>
      </c>
      <c r="EB1" s="785"/>
      <c r="EC1" s="786" t="s">
        <v>816</v>
      </c>
      <c r="ED1" s="786"/>
      <c r="EE1" s="751" t="s">
        <v>1590</v>
      </c>
      <c r="EF1" s="751"/>
      <c r="EG1" s="361"/>
      <c r="EH1" s="785" t="s">
        <v>1641</v>
      </c>
      <c r="EI1" s="785"/>
      <c r="EJ1" s="786" t="s">
        <v>816</v>
      </c>
      <c r="EK1" s="786"/>
      <c r="EL1" s="751" t="s">
        <v>1675</v>
      </c>
      <c r="EM1" s="751"/>
      <c r="EN1" s="785" t="s">
        <v>1666</v>
      </c>
      <c r="EO1" s="785"/>
      <c r="EP1" s="786" t="s">
        <v>816</v>
      </c>
      <c r="EQ1" s="786"/>
      <c r="ER1" s="751" t="s">
        <v>1715</v>
      </c>
      <c r="ES1" s="751"/>
      <c r="ET1" s="785" t="s">
        <v>1708</v>
      </c>
      <c r="EU1" s="785"/>
      <c r="EV1" s="786" t="s">
        <v>816</v>
      </c>
      <c r="EW1" s="786"/>
      <c r="EX1" s="751" t="s">
        <v>1616</v>
      </c>
      <c r="EY1" s="751"/>
      <c r="EZ1" s="785" t="s">
        <v>1743</v>
      </c>
      <c r="FA1" s="785"/>
      <c r="FB1" s="786" t="s">
        <v>816</v>
      </c>
      <c r="FC1" s="786"/>
      <c r="FD1" s="751" t="s">
        <v>1597</v>
      </c>
      <c r="FE1" s="751"/>
      <c r="FF1" s="785" t="s">
        <v>1782</v>
      </c>
      <c r="FG1" s="785"/>
      <c r="FH1" s="786" t="s">
        <v>816</v>
      </c>
      <c r="FI1" s="786"/>
      <c r="FJ1" s="751" t="s">
        <v>1391</v>
      </c>
      <c r="FK1" s="751"/>
      <c r="FL1" s="785" t="s">
        <v>1817</v>
      </c>
      <c r="FM1" s="785"/>
      <c r="FN1" s="786" t="s">
        <v>816</v>
      </c>
      <c r="FO1" s="786"/>
      <c r="FP1" s="751" t="s">
        <v>1864</v>
      </c>
      <c r="FQ1" s="751"/>
      <c r="FR1" s="785" t="s">
        <v>1853</v>
      </c>
      <c r="FS1" s="785"/>
      <c r="FT1" s="786" t="s">
        <v>816</v>
      </c>
      <c r="FU1" s="786"/>
      <c r="FV1" s="751" t="s">
        <v>1864</v>
      </c>
      <c r="FW1" s="751"/>
      <c r="FX1" s="785" t="s">
        <v>1997</v>
      </c>
      <c r="FY1" s="785"/>
      <c r="FZ1" s="786" t="s">
        <v>816</v>
      </c>
      <c r="GA1" s="786"/>
      <c r="GB1" s="751" t="s">
        <v>1616</v>
      </c>
      <c r="GC1" s="751"/>
      <c r="GD1" s="785" t="s">
        <v>1998</v>
      </c>
      <c r="GE1" s="785"/>
      <c r="GF1" s="786" t="s">
        <v>816</v>
      </c>
      <c r="GG1" s="786"/>
      <c r="GH1" s="751" t="s">
        <v>1590</v>
      </c>
      <c r="GI1" s="751"/>
      <c r="GJ1" s="785" t="s">
        <v>2007</v>
      </c>
      <c r="GK1" s="785"/>
      <c r="GL1" s="786" t="s">
        <v>816</v>
      </c>
      <c r="GM1" s="786"/>
      <c r="GN1" s="751" t="s">
        <v>1590</v>
      </c>
      <c r="GO1" s="751"/>
      <c r="GP1" s="785" t="s">
        <v>2049</v>
      </c>
      <c r="GQ1" s="785"/>
      <c r="GR1" s="786" t="s">
        <v>816</v>
      </c>
      <c r="GS1" s="786"/>
      <c r="GT1" s="751" t="s">
        <v>1675</v>
      </c>
      <c r="GU1" s="751"/>
      <c r="GV1" s="785" t="s">
        <v>2083</v>
      </c>
      <c r="GW1" s="785"/>
      <c r="GX1" s="786" t="s">
        <v>816</v>
      </c>
      <c r="GY1" s="786"/>
      <c r="GZ1" s="751" t="s">
        <v>2122</v>
      </c>
      <c r="HA1" s="751"/>
      <c r="HB1" s="785" t="s">
        <v>2142</v>
      </c>
      <c r="HC1" s="785"/>
      <c r="HD1" s="786" t="s">
        <v>816</v>
      </c>
      <c r="HE1" s="786"/>
      <c r="HF1" s="751" t="s">
        <v>1715</v>
      </c>
      <c r="HG1" s="751"/>
      <c r="HH1" s="785" t="s">
        <v>2155</v>
      </c>
      <c r="HI1" s="785"/>
      <c r="HJ1" s="786" t="s">
        <v>816</v>
      </c>
      <c r="HK1" s="786"/>
      <c r="HL1" s="751" t="s">
        <v>1391</v>
      </c>
      <c r="HM1" s="751"/>
      <c r="HN1" s="785" t="s">
        <v>2201</v>
      </c>
      <c r="HO1" s="785"/>
      <c r="HP1" s="786" t="s">
        <v>816</v>
      </c>
      <c r="HQ1" s="786"/>
      <c r="HR1" s="751" t="s">
        <v>1391</v>
      </c>
      <c r="HS1" s="751"/>
      <c r="HT1" s="785" t="s">
        <v>2243</v>
      </c>
      <c r="HU1" s="785"/>
      <c r="HV1" s="786" t="s">
        <v>816</v>
      </c>
      <c r="HW1" s="786"/>
      <c r="HX1" s="751" t="s">
        <v>1616</v>
      </c>
      <c r="HY1" s="751"/>
      <c r="HZ1" s="785" t="s">
        <v>2300</v>
      </c>
      <c r="IA1" s="785"/>
      <c r="IB1" s="786" t="s">
        <v>816</v>
      </c>
      <c r="IC1" s="786"/>
      <c r="ID1" s="751" t="s">
        <v>1715</v>
      </c>
      <c r="IE1" s="751"/>
      <c r="IF1" s="785" t="s">
        <v>2367</v>
      </c>
      <c r="IG1" s="785"/>
      <c r="IH1" s="786" t="s">
        <v>816</v>
      </c>
      <c r="II1" s="786"/>
      <c r="IJ1" s="751" t="s">
        <v>1590</v>
      </c>
      <c r="IK1" s="751"/>
      <c r="IL1" s="785" t="s">
        <v>2443</v>
      </c>
      <c r="IM1" s="785"/>
      <c r="IN1" s="786" t="s">
        <v>816</v>
      </c>
      <c r="IO1" s="786"/>
      <c r="IP1" s="751" t="s">
        <v>1616</v>
      </c>
      <c r="IQ1" s="751"/>
      <c r="IR1" s="785" t="s">
        <v>2668</v>
      </c>
      <c r="IS1" s="785"/>
      <c r="IT1" s="786" t="s">
        <v>816</v>
      </c>
      <c r="IU1" s="786"/>
      <c r="IV1" s="751" t="s">
        <v>1748</v>
      </c>
      <c r="IW1" s="751"/>
      <c r="IX1" s="785" t="s">
        <v>2667</v>
      </c>
      <c r="IY1" s="785"/>
      <c r="IZ1" s="786" t="s">
        <v>816</v>
      </c>
      <c r="JA1" s="786"/>
      <c r="JB1" s="751" t="s">
        <v>1864</v>
      </c>
      <c r="JC1" s="751"/>
      <c r="JD1" s="785" t="s">
        <v>2719</v>
      </c>
      <c r="JE1" s="785"/>
      <c r="JF1" s="786" t="s">
        <v>816</v>
      </c>
      <c r="JG1" s="786"/>
      <c r="JH1" s="751" t="s">
        <v>1748</v>
      </c>
      <c r="JI1" s="751"/>
      <c r="JJ1" s="785" t="s">
        <v>2785</v>
      </c>
      <c r="JK1" s="785"/>
      <c r="JL1" s="726" t="s">
        <v>816</v>
      </c>
      <c r="JM1" s="726"/>
      <c r="JN1" s="723" t="s">
        <v>1748</v>
      </c>
      <c r="JO1" s="723"/>
      <c r="JP1" s="725" t="s">
        <v>2670</v>
      </c>
      <c r="JQ1" s="725"/>
      <c r="JR1" s="583"/>
      <c r="JS1" s="583"/>
      <c r="JT1" s="583"/>
    </row>
    <row r="2" spans="1:280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338929.12000000017</v>
      </c>
      <c r="HZ2" t="s">
        <v>2185</v>
      </c>
      <c r="IA2" s="2">
        <f>IA3-($GQ$39-$HG$38-$HG$37-$HM$36)</f>
        <v>395434.1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356124.18999999994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358139.43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360986</v>
      </c>
      <c r="IT2" s="573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3" t="s">
        <v>1911</v>
      </c>
      <c r="IY2" s="363">
        <f>SUM(IY3:IY23)</f>
        <v>391571.26300000004</v>
      </c>
      <c r="IZ2" s="621" t="s">
        <v>295</v>
      </c>
      <c r="JA2" s="492">
        <f>SUM(JA4:JA30)</f>
        <v>29637.580999999998</v>
      </c>
      <c r="JB2" s="334" t="s">
        <v>296</v>
      </c>
      <c r="JC2" s="273">
        <f>JA2+IY2-JE2</f>
        <v>11138.844000000041</v>
      </c>
      <c r="JD2" s="621" t="s">
        <v>1911</v>
      </c>
      <c r="JE2" s="363">
        <f>SUM(JE3:JE25)</f>
        <v>410070</v>
      </c>
      <c r="JF2" s="670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70" t="s">
        <v>1911</v>
      </c>
      <c r="JK2" s="363">
        <f>SUM(JK3:JK28)</f>
        <v>260884.1</v>
      </c>
      <c r="JL2" s="724" t="s">
        <v>295</v>
      </c>
      <c r="JM2" s="492">
        <f>SUM(JM4:JM26)</f>
        <v>15880.800999999999</v>
      </c>
      <c r="JN2" s="334" t="s">
        <v>296</v>
      </c>
      <c r="JO2" s="273">
        <f>JM2+JK2-JQ2</f>
        <v>118657.38100000002</v>
      </c>
      <c r="JP2" s="724" t="s">
        <v>1911</v>
      </c>
      <c r="JQ2" s="363">
        <f>SUM(JQ3:JQ32)</f>
        <v>158107.51999999999</v>
      </c>
      <c r="JR2" s="610"/>
    </row>
    <row r="3" spans="1:280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SUM(DJ4:DJ43)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SUM(FG4:FG41)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SUM(FM4:FM44)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399306.64999999997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-140000</v>
      </c>
      <c r="IH3" t="s">
        <v>633</v>
      </c>
      <c r="II3" s="492">
        <v>15104.63</v>
      </c>
      <c r="IJ3" t="s">
        <v>1725</v>
      </c>
      <c r="IK3" s="273">
        <f>IK2-II42-II41</f>
        <v>9220.5533333332605</v>
      </c>
      <c r="IL3" t="s">
        <v>2345</v>
      </c>
      <c r="IM3" s="268">
        <f>$IA$6</f>
        <v>-140000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-140000</v>
      </c>
      <c r="IT3" s="573" t="s">
        <v>633</v>
      </c>
      <c r="IU3" s="541">
        <v>43151.3</v>
      </c>
      <c r="IV3" s="573" t="s">
        <v>2397</v>
      </c>
      <c r="IW3" s="273">
        <f>IW2-IU24-IU23</f>
        <v>5412.000333333297</v>
      </c>
      <c r="IX3" s="573" t="s">
        <v>2345</v>
      </c>
      <c r="IY3" s="268">
        <f>$IA$6</f>
        <v>-140000</v>
      </c>
      <c r="IZ3" s="661"/>
      <c r="JA3" s="492"/>
      <c r="JB3" s="621" t="s">
        <v>2397</v>
      </c>
      <c r="JC3" s="273">
        <f>JC2-JA36-JA35</f>
        <v>5095.8330000000415</v>
      </c>
      <c r="JD3" s="621" t="s">
        <v>2345</v>
      </c>
      <c r="JE3" s="268">
        <f>$IA$6</f>
        <v>-140000</v>
      </c>
      <c r="JG3" s="492"/>
      <c r="JH3" s="670" t="s">
        <v>2397</v>
      </c>
      <c r="JI3" s="273">
        <f>JI2-JG29-JG28</f>
        <v>5318.7558739726137</v>
      </c>
      <c r="JJ3" s="670" t="s">
        <v>2345</v>
      </c>
      <c r="JK3" s="268">
        <f>$IA$6</f>
        <v>-140000</v>
      </c>
      <c r="JM3" s="492"/>
      <c r="JN3" s="724" t="s">
        <v>2397</v>
      </c>
      <c r="JO3" s="273">
        <f>JO2-JM29-JM28</f>
        <v>1978.7585000000354</v>
      </c>
      <c r="JP3" s="724" t="s">
        <v>2345</v>
      </c>
      <c r="JQ3" s="268">
        <f>$IA$6</f>
        <v>-140000</v>
      </c>
      <c r="JR3" s="611"/>
    </row>
    <row r="4" spans="1:280" ht="12.75" customHeight="1" thickBot="1" x14ac:dyDescent="0.25">
      <c r="A4" s="748" t="s">
        <v>991</v>
      </c>
      <c r="B4" s="748"/>
      <c r="E4" s="170" t="s">
        <v>233</v>
      </c>
      <c r="F4" s="174">
        <f>F3-F5</f>
        <v>17</v>
      </c>
      <c r="G4" s="748" t="s">
        <v>991</v>
      </c>
      <c r="H4" s="748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IE3-IE57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IK3-II43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2" t="s">
        <v>2672</v>
      </c>
      <c r="IU4" s="541">
        <v>-1437.02</v>
      </c>
      <c r="IV4" s="677" t="s">
        <v>2449</v>
      </c>
      <c r="IW4" s="273">
        <f>IW3-IU25</f>
        <v>2897.9403333332971</v>
      </c>
      <c r="IX4" s="614" t="s">
        <v>2615</v>
      </c>
      <c r="IY4" s="615">
        <v>0.13300000000000001</v>
      </c>
      <c r="IZ4" s="621" t="s">
        <v>633</v>
      </c>
      <c r="JA4" s="541">
        <v>30921.3</v>
      </c>
      <c r="JB4" s="677" t="s">
        <v>2449</v>
      </c>
      <c r="JC4" s="273">
        <f>JC3-JA37</f>
        <v>3741.5130000000418</v>
      </c>
      <c r="JD4" s="621" t="s">
        <v>2678</v>
      </c>
      <c r="JE4" s="268">
        <f>-140000-71000</f>
        <v>-211000</v>
      </c>
      <c r="JF4" s="670" t="s">
        <v>633</v>
      </c>
      <c r="JG4" s="541">
        <v>17271.3</v>
      </c>
      <c r="JH4" s="670" t="s">
        <v>1203</v>
      </c>
      <c r="JI4" s="286">
        <f>JI2-JI5</f>
        <v>-0.59412602736847475</v>
      </c>
      <c r="JJ4" s="670" t="s">
        <v>2678</v>
      </c>
      <c r="JK4" s="268">
        <v>-71000</v>
      </c>
      <c r="JL4" s="724" t="s">
        <v>633</v>
      </c>
      <c r="JM4" s="541">
        <v>17271.3</v>
      </c>
      <c r="JN4" s="724" t="s">
        <v>1203</v>
      </c>
      <c r="JO4" s="286">
        <f>JO2-JO5</f>
        <v>0.51100000002770685</v>
      </c>
      <c r="JP4" s="724" t="s">
        <v>2678</v>
      </c>
      <c r="JQ4" s="268">
        <v>-71000</v>
      </c>
      <c r="JR4" s="611"/>
    </row>
    <row r="5" spans="1:280" x14ac:dyDescent="0.2">
      <c r="A5" s="748"/>
      <c r="B5" s="748"/>
      <c r="E5" s="170" t="s">
        <v>352</v>
      </c>
      <c r="F5" s="174">
        <f>SUM(F15:F56)</f>
        <v>12750</v>
      </c>
      <c r="G5" s="748"/>
      <c r="H5" s="748"/>
      <c r="K5" s="170" t="s">
        <v>352</v>
      </c>
      <c r="L5" s="242">
        <f>SUM(L15:L43)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HY4-HY53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SUM(IQ6:IQ57)</f>
        <v>11405.679999999998</v>
      </c>
      <c r="IR5" s="66" t="s">
        <v>2402</v>
      </c>
      <c r="IS5" s="2">
        <v>0</v>
      </c>
      <c r="IT5" s="661" t="s">
        <v>2611</v>
      </c>
      <c r="IU5" s="492">
        <f>-11-12-13</f>
        <v>-36</v>
      </c>
      <c r="IV5" s="573" t="s">
        <v>1203</v>
      </c>
      <c r="IW5" s="286">
        <f>IW2-IW6</f>
        <v>0.48699999996097176</v>
      </c>
      <c r="IX5" s="665" t="s">
        <v>2690</v>
      </c>
      <c r="IY5" s="272">
        <v>-75000</v>
      </c>
      <c r="IZ5" s="621" t="s">
        <v>2672</v>
      </c>
      <c r="JA5" s="541">
        <v>-71</v>
      </c>
      <c r="JB5" s="621" t="s">
        <v>1203</v>
      </c>
      <c r="JC5" s="286">
        <f>JC2-JC6</f>
        <v>-3.9079999999557913</v>
      </c>
      <c r="JD5" s="624" t="s">
        <v>2690</v>
      </c>
      <c r="JE5" s="272">
        <v>-75000</v>
      </c>
      <c r="JF5" s="670" t="s">
        <v>2672</v>
      </c>
      <c r="JG5" s="541">
        <v>-5.95</v>
      </c>
      <c r="JH5" s="670" t="s">
        <v>352</v>
      </c>
      <c r="JI5" s="273">
        <f>SUM(JI6:JI45)</f>
        <v>166095.25412602737</v>
      </c>
      <c r="JJ5" s="673" t="s">
        <v>2690</v>
      </c>
      <c r="JK5" s="272">
        <v>-75000</v>
      </c>
      <c r="JL5" s="724" t="s">
        <v>2672</v>
      </c>
      <c r="JM5" s="541"/>
      <c r="JN5" s="724" t="s">
        <v>352</v>
      </c>
      <c r="JO5" s="273">
        <f>SUM(JO6:JO48)</f>
        <v>118656.87</v>
      </c>
      <c r="JP5" s="730" t="s">
        <v>2690</v>
      </c>
      <c r="JQ5" s="272">
        <v>-75000</v>
      </c>
      <c r="JR5" s="611"/>
    </row>
    <row r="6" spans="1:280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SUM(R15:R41)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SUM(X14:X45)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SUM(AP13:AP55)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SUM(AV12:AV49)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SUM(BF12:BF42)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SUM(BX12:BX44)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SUM(CD12:CD43)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SUM(CJ12:CJ45)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SUM(CP12:CP43)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SUM(CV12:CV44)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SUM(DB12:DB44)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SUM(DH13:DH64)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SUM(DN13:DN60)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SUM(DZ12:DZ47)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SUM(EM12:EM50)</f>
        <v>5228.0999999999985</v>
      </c>
      <c r="EN6" s="66" t="s">
        <v>1527</v>
      </c>
      <c r="EO6" s="1">
        <v>891</v>
      </c>
      <c r="ER6" t="s">
        <v>352</v>
      </c>
      <c r="ES6" s="355">
        <f>SUM(ES12:ES48)</f>
        <v>7266.5499999999993</v>
      </c>
      <c r="ET6" s="66" t="s">
        <v>1527</v>
      </c>
      <c r="EU6" s="1">
        <v>556</v>
      </c>
      <c r="EX6" t="s">
        <v>352</v>
      </c>
      <c r="EY6" s="332">
        <f>SUM(EY12:EY50)</f>
        <v>5475.6799999999994</v>
      </c>
      <c r="EZ6" s="66" t="s">
        <v>1527</v>
      </c>
      <c r="FA6">
        <v>1233</v>
      </c>
      <c r="FD6" t="s">
        <v>352</v>
      </c>
      <c r="FE6" s="286">
        <f>SUM(FE12:FE45)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SUM(FK12:FK45)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SUM(FQ13:FQ57)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SUM(FW13:FW48)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SUM(GC13:GC49)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SUM(GI13:GI47)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SUM(GO13:GO56)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SUM(GU13:GU54)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SUM(HA13:HA50)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SUM(HG13:HG43)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SUM(HS7:HS44)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-140000</v>
      </c>
      <c r="IB6" t="s">
        <v>2325</v>
      </c>
      <c r="IC6" s="493">
        <v>17.8</v>
      </c>
      <c r="ID6" t="s">
        <v>352</v>
      </c>
      <c r="IE6" s="273">
        <f>SUM(IE7:IE57)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SUM(IK7:IK59)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3" t="s">
        <v>2691</v>
      </c>
      <c r="IU6" s="492">
        <v>-30</v>
      </c>
      <c r="IV6" s="573" t="s">
        <v>352</v>
      </c>
      <c r="IW6" s="273">
        <f>SUM(IW7:IW40)</f>
        <v>11439.500000000004</v>
      </c>
      <c r="IX6" s="666" t="s">
        <v>2689</v>
      </c>
      <c r="IY6" s="268">
        <v>-4000</v>
      </c>
      <c r="IZ6" s="621" t="s">
        <v>2611</v>
      </c>
      <c r="JA6" s="492">
        <f>-1300</f>
        <v>-1300</v>
      </c>
      <c r="JB6" s="621" t="s">
        <v>352</v>
      </c>
      <c r="JC6" s="273">
        <f>SUM(JC7:JC47)</f>
        <v>11142.751999999997</v>
      </c>
      <c r="JD6" s="625" t="s">
        <v>2689</v>
      </c>
      <c r="JE6" s="268">
        <v>-4000</v>
      </c>
      <c r="JF6" s="670" t="s">
        <v>2611</v>
      </c>
      <c r="JG6" s="492">
        <v>-1401</v>
      </c>
      <c r="JH6" s="192" t="s">
        <v>2747</v>
      </c>
      <c r="JI6" s="583">
        <v>2000.06</v>
      </c>
      <c r="JJ6" s="674" t="s">
        <v>2689</v>
      </c>
      <c r="JK6" s="268">
        <v>-4000</v>
      </c>
      <c r="JL6" s="724" t="s">
        <v>2611</v>
      </c>
      <c r="JM6" s="492">
        <v>-1400</v>
      </c>
      <c r="JN6" s="192" t="s">
        <v>2814</v>
      </c>
      <c r="JO6" s="583">
        <v>1000.07</v>
      </c>
      <c r="JP6" s="731" t="s">
        <v>2689</v>
      </c>
      <c r="JQ6" s="268">
        <v>-4000</v>
      </c>
      <c r="JR6" s="611"/>
    </row>
    <row r="7" spans="1:280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SUM(DT14:DT53)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SUM(HY8:HY53)</f>
        <v>338928.51000000007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2532</v>
      </c>
      <c r="IO7" s="492"/>
      <c r="IP7" s="351" t="s">
        <v>2496</v>
      </c>
      <c r="IQ7" s="61">
        <v>17</v>
      </c>
      <c r="IR7" s="320" t="s">
        <v>2467</v>
      </c>
      <c r="IS7" s="584">
        <v>0</v>
      </c>
      <c r="IT7" s="573" t="s">
        <v>2604</v>
      </c>
      <c r="IU7" s="492">
        <v>100</v>
      </c>
      <c r="IV7" s="351" t="s">
        <v>2459</v>
      </c>
      <c r="IW7" s="61">
        <v>11</v>
      </c>
      <c r="IX7" s="254" t="s">
        <v>2613</v>
      </c>
      <c r="IY7" s="2">
        <f>100*(120+1000+330+310)</f>
        <v>176000</v>
      </c>
      <c r="IZ7" s="661" t="s">
        <v>2691</v>
      </c>
      <c r="JA7" s="492">
        <v>-30</v>
      </c>
      <c r="JB7" s="192" t="s">
        <v>1002</v>
      </c>
      <c r="JC7" s="61">
        <v>1900.03</v>
      </c>
      <c r="JD7" s="254" t="s">
        <v>2613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2613</v>
      </c>
      <c r="JK7" s="2">
        <f>100*(120+1000+330+310)</f>
        <v>176000</v>
      </c>
      <c r="JM7" s="492"/>
      <c r="JN7" s="192" t="s">
        <v>1002</v>
      </c>
      <c r="JO7" s="61">
        <v>1900.05</v>
      </c>
      <c r="JP7" s="254" t="s">
        <v>2613</v>
      </c>
      <c r="JQ7" s="2">
        <f>100*(1000+330+310)</f>
        <v>164000</v>
      </c>
      <c r="JR7" s="611"/>
    </row>
    <row r="8" spans="1:280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3">
        <v>-3061</v>
      </c>
      <c r="IT8" s="608" t="s">
        <v>2601</v>
      </c>
      <c r="IU8" s="492">
        <f>10582.19+14077.74-24508</f>
        <v>151.93000000000029</v>
      </c>
      <c r="IV8" s="351" t="s">
        <v>1002</v>
      </c>
      <c r="IW8" s="61">
        <v>1900.02</v>
      </c>
      <c r="IX8" s="573" t="s">
        <v>2424</v>
      </c>
      <c r="IY8" s="268">
        <v>360000</v>
      </c>
      <c r="IZ8" s="676"/>
      <c r="JA8" s="492"/>
      <c r="JB8" s="389" t="s">
        <v>2699</v>
      </c>
      <c r="JC8" s="61">
        <v>300.27999999999997</v>
      </c>
      <c r="JD8" s="621" t="s">
        <v>2424</v>
      </c>
      <c r="JE8" s="268">
        <v>590000</v>
      </c>
      <c r="JF8" s="670" t="s">
        <v>2532</v>
      </c>
      <c r="JG8" s="492"/>
      <c r="JH8" s="389" t="s">
        <v>2767</v>
      </c>
      <c r="JI8" s="61">
        <v>327.74</v>
      </c>
      <c r="JJ8" s="670" t="s">
        <v>2424</v>
      </c>
      <c r="JK8" s="268">
        <v>0</v>
      </c>
      <c r="JL8" s="724" t="s">
        <v>2532</v>
      </c>
      <c r="JM8" s="492"/>
      <c r="JN8" s="389" t="s">
        <v>2815</v>
      </c>
      <c r="JO8" s="61">
        <v>48.69</v>
      </c>
      <c r="JP8" s="724" t="s">
        <v>2424</v>
      </c>
      <c r="JQ8" s="268">
        <v>0</v>
      </c>
      <c r="JR8" s="610">
        <v>45043</v>
      </c>
      <c r="JS8" s="214"/>
    </row>
    <row r="9" spans="1:280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2533</v>
      </c>
      <c r="IO9">
        <f>9.9+76.9</f>
        <v>86.800000000000011</v>
      </c>
      <c r="IP9" s="351" t="s">
        <v>2491</v>
      </c>
      <c r="IQ9" s="61">
        <v>2000</v>
      </c>
      <c r="IR9" s="6" t="s">
        <v>2531</v>
      </c>
      <c r="IS9" s="359">
        <v>116</v>
      </c>
      <c r="IU9" s="492"/>
      <c r="IV9" s="351" t="s">
        <v>2600</v>
      </c>
      <c r="IW9" s="61">
        <v>2000</v>
      </c>
      <c r="IX9" s="320" t="s">
        <v>2467</v>
      </c>
      <c r="IY9" s="584">
        <v>-49.87</v>
      </c>
      <c r="IZ9" s="668" t="s">
        <v>2710</v>
      </c>
      <c r="JA9" s="492">
        <f>544.23-533.02</f>
        <v>11.210000000000036</v>
      </c>
      <c r="JB9" s="389" t="s">
        <v>2724</v>
      </c>
      <c r="JC9" s="61">
        <v>600</v>
      </c>
      <c r="JD9" s="320" t="s">
        <v>2467</v>
      </c>
      <c r="JE9" s="584">
        <v>0</v>
      </c>
      <c r="JF9" s="613" t="s">
        <v>2788</v>
      </c>
      <c r="JH9" s="346" t="s">
        <v>2775</v>
      </c>
      <c r="JI9" s="61">
        <v>1954.8</v>
      </c>
      <c r="JJ9" s="320" t="s">
        <v>2467</v>
      </c>
      <c r="JK9" s="584">
        <v>-54</v>
      </c>
      <c r="JL9" s="613" t="s">
        <v>2794</v>
      </c>
      <c r="JM9" s="724">
        <v>2.5</v>
      </c>
      <c r="JN9" s="389" t="s">
        <v>2798</v>
      </c>
      <c r="JO9" s="61">
        <v>127.14</v>
      </c>
      <c r="JP9" s="320" t="s">
        <v>2467</v>
      </c>
      <c r="JQ9" s="584">
        <v>0</v>
      </c>
      <c r="JR9" s="610">
        <v>45044</v>
      </c>
      <c r="JS9" s="584"/>
    </row>
    <row r="10" spans="1:280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SUM(DT49:DT49)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SUM(GO29:GO41)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2538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3" t="s">
        <v>2532</v>
      </c>
      <c r="IU10" s="492"/>
      <c r="IV10" s="389" t="s">
        <v>2685</v>
      </c>
      <c r="IW10" s="532">
        <v>2000</v>
      </c>
      <c r="IX10" s="577" t="s">
        <v>1630</v>
      </c>
      <c r="IY10" s="583">
        <v>-997</v>
      </c>
      <c r="JA10" s="492"/>
      <c r="JB10" s="389" t="s">
        <v>2725</v>
      </c>
      <c r="JC10" s="532">
        <v>454.04</v>
      </c>
      <c r="JD10" s="624" t="s">
        <v>1630</v>
      </c>
      <c r="JE10" s="584">
        <v>-260</v>
      </c>
      <c r="JH10" s="346" t="s">
        <v>2017</v>
      </c>
      <c r="JI10" s="61">
        <v>58.77</v>
      </c>
      <c r="JJ10" s="673" t="s">
        <v>1630</v>
      </c>
      <c r="JK10" s="321">
        <v>-540</v>
      </c>
      <c r="JN10" s="346" t="s">
        <v>2786</v>
      </c>
      <c r="JO10" s="61"/>
      <c r="JP10" s="730" t="s">
        <v>1630</v>
      </c>
      <c r="JQ10" s="321">
        <v>-140</v>
      </c>
      <c r="JR10" s="611">
        <v>45041</v>
      </c>
      <c r="JS10" s="321"/>
      <c r="JT10" s="321"/>
    </row>
    <row r="11" spans="1:280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SUM(AP34:AP43)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SUM(DH37:DH43)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2539</v>
      </c>
      <c r="IO11" s="565">
        <v>10</v>
      </c>
      <c r="IP11" s="346" t="s">
        <v>2548</v>
      </c>
      <c r="IQ11" s="61">
        <f>406.6+487.92</f>
        <v>894.52</v>
      </c>
      <c r="IR11" s="66" t="s">
        <v>1505</v>
      </c>
      <c r="IS11" s="268">
        <v>364</v>
      </c>
      <c r="IT11" s="573" t="s">
        <v>2610</v>
      </c>
      <c r="IU11" s="492">
        <v>15.03</v>
      </c>
      <c r="IV11" s="389" t="s">
        <v>2605</v>
      </c>
      <c r="IW11" s="532">
        <v>135.25</v>
      </c>
      <c r="IX11" s="575" t="s">
        <v>1838</v>
      </c>
      <c r="IY11" s="496">
        <v>2600</v>
      </c>
      <c r="IZ11" s="621" t="s">
        <v>2532</v>
      </c>
      <c r="JA11" s="492"/>
      <c r="JB11" s="346" t="s">
        <v>2700</v>
      </c>
      <c r="JC11" s="61">
        <f>259.2+410.4</f>
        <v>669.59999999999991</v>
      </c>
      <c r="JD11" s="622" t="s">
        <v>1838</v>
      </c>
      <c r="JE11" s="517">
        <v>2600</v>
      </c>
      <c r="JF11" s="670" t="s">
        <v>2412</v>
      </c>
      <c r="JG11" s="514"/>
      <c r="JH11" s="346" t="s">
        <v>2700</v>
      </c>
      <c r="JI11" s="533">
        <f>410.4+259.2</f>
        <v>669.59999999999991</v>
      </c>
      <c r="JJ11" s="671" t="s">
        <v>1838</v>
      </c>
      <c r="JK11" s="268">
        <v>2600</v>
      </c>
      <c r="JL11" s="724" t="s">
        <v>2412</v>
      </c>
      <c r="JM11" s="514"/>
      <c r="JN11" s="346" t="s">
        <v>2786</v>
      </c>
      <c r="JO11" s="61"/>
      <c r="JP11" s="728" t="s">
        <v>1838</v>
      </c>
      <c r="JQ11" s="268">
        <v>2600</v>
      </c>
      <c r="JR11" s="610">
        <v>45041</v>
      </c>
    </row>
    <row r="12" spans="1:280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3" t="s">
        <v>2629</v>
      </c>
      <c r="IU12" s="573">
        <v>25.58</v>
      </c>
      <c r="IV12" s="389" t="s">
        <v>2576</v>
      </c>
      <c r="IW12" s="532">
        <v>378.81</v>
      </c>
      <c r="IX12" s="576" t="s">
        <v>1505</v>
      </c>
      <c r="IY12" s="268">
        <v>983</v>
      </c>
      <c r="IZ12" s="621" t="s">
        <v>2671</v>
      </c>
      <c r="JA12" s="621">
        <v>30</v>
      </c>
      <c r="JB12" s="346" t="s">
        <v>2631</v>
      </c>
      <c r="JC12" s="533">
        <v>52.89</v>
      </c>
      <c r="JD12" s="625" t="s">
        <v>1505</v>
      </c>
      <c r="JE12" s="268">
        <v>635</v>
      </c>
      <c r="JF12" s="670" t="s">
        <v>2164</v>
      </c>
      <c r="JG12" s="514">
        <f>72.14+1.23</f>
        <v>73.37</v>
      </c>
      <c r="JH12" s="245" t="s">
        <v>2768</v>
      </c>
      <c r="JI12" s="733">
        <f>2.88%/365*(20*140000+21*140220)</f>
        <v>453.27412602739724</v>
      </c>
      <c r="JJ12" s="674" t="s">
        <v>1505</v>
      </c>
      <c r="JK12" s="268">
        <v>966</v>
      </c>
      <c r="JL12" s="724" t="s">
        <v>2164</v>
      </c>
      <c r="JM12" s="740"/>
      <c r="JN12" s="245" t="s">
        <v>2791</v>
      </c>
      <c r="JO12" s="650"/>
      <c r="JP12" s="731" t="s">
        <v>1505</v>
      </c>
      <c r="JQ12" s="268">
        <v>1498</v>
      </c>
      <c r="JR12" s="610">
        <v>45043</v>
      </c>
      <c r="JS12" s="268"/>
      <c r="JT12" s="268"/>
    </row>
    <row r="13" spans="1:280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2544</v>
      </c>
      <c r="IQ13" s="407">
        <f>2750.62/3</f>
        <v>916.87333333333333</v>
      </c>
      <c r="IR13" s="254" t="s">
        <v>2549</v>
      </c>
      <c r="IS13" s="2">
        <v>142</v>
      </c>
      <c r="IV13" s="346" t="s">
        <v>2602</v>
      </c>
      <c r="IW13" s="533">
        <v>170</v>
      </c>
      <c r="IX13" s="576" t="s">
        <v>1506</v>
      </c>
      <c r="IY13" s="268">
        <v>618</v>
      </c>
      <c r="JB13" s="667" t="s">
        <v>2709</v>
      </c>
      <c r="JC13" s="533">
        <f>80-40</f>
        <v>40</v>
      </c>
      <c r="JD13" s="625" t="s">
        <v>1506</v>
      </c>
      <c r="JE13" s="268">
        <v>1778</v>
      </c>
      <c r="JF13" s="670" t="s">
        <v>2603</v>
      </c>
      <c r="JG13" s="492">
        <v>22.41</v>
      </c>
      <c r="JH13" s="245" t="s">
        <v>2790</v>
      </c>
      <c r="JI13" s="733"/>
      <c r="JJ13" s="674" t="s">
        <v>1506</v>
      </c>
      <c r="JK13" s="268">
        <v>1556</v>
      </c>
      <c r="JL13" s="9" t="s">
        <v>2695</v>
      </c>
      <c r="JM13" s="741"/>
      <c r="JN13" s="245" t="s">
        <v>2793</v>
      </c>
      <c r="JO13" s="492">
        <v>1396.9</v>
      </c>
      <c r="JP13" s="731" t="s">
        <v>1506</v>
      </c>
      <c r="JQ13" s="268">
        <v>2530</v>
      </c>
      <c r="JR13" s="610" t="s">
        <v>2821</v>
      </c>
      <c r="JS13" s="268"/>
      <c r="JT13" s="268"/>
    </row>
    <row r="14" spans="1:280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56" t="s">
        <v>2186</v>
      </c>
      <c r="HK14" s="756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2612</v>
      </c>
      <c r="HY14" s="2">
        <f>-IA6</f>
        <v>140000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2546</v>
      </c>
      <c r="IT14" s="573" t="s">
        <v>2412</v>
      </c>
      <c r="IU14" s="514"/>
      <c r="IV14" s="245" t="s">
        <v>2627</v>
      </c>
      <c r="IW14" s="2">
        <f>IW15*2</f>
        <v>2116.9666666666667</v>
      </c>
      <c r="IX14" s="576" t="s">
        <v>2553</v>
      </c>
      <c r="IY14" s="268">
        <v>24</v>
      </c>
      <c r="IZ14" s="621" t="s">
        <v>2412</v>
      </c>
      <c r="JA14" s="514"/>
      <c r="JB14" s="245" t="s">
        <v>2708</v>
      </c>
      <c r="JC14" s="650">
        <v>26.001000000000001</v>
      </c>
      <c r="JD14" s="625" t="s">
        <v>2706</v>
      </c>
      <c r="JE14" s="268">
        <v>89</v>
      </c>
      <c r="JF14" s="711" t="s">
        <v>2773</v>
      </c>
      <c r="JG14" s="492">
        <v>118.15</v>
      </c>
      <c r="JH14" s="245" t="s">
        <v>2792</v>
      </c>
      <c r="JI14" s="492">
        <v>1422.53</v>
      </c>
      <c r="JJ14" s="674" t="s">
        <v>2706</v>
      </c>
      <c r="JK14" s="268">
        <v>4000</v>
      </c>
      <c r="JL14" s="724" t="s">
        <v>1799</v>
      </c>
      <c r="JM14" s="61"/>
      <c r="JN14" s="245" t="s">
        <v>2769</v>
      </c>
      <c r="JO14" s="650">
        <v>110000</v>
      </c>
      <c r="JP14" s="731" t="s">
        <v>2706</v>
      </c>
      <c r="JQ14" s="268">
        <v>3253</v>
      </c>
      <c r="JR14" s="610">
        <v>45044</v>
      </c>
    </row>
    <row r="15" spans="1:280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798" t="s">
        <v>1504</v>
      </c>
      <c r="DP15" s="799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3" t="s">
        <v>2609</v>
      </c>
      <c r="IU15" s="514">
        <v>43</v>
      </c>
      <c r="IV15" s="345" t="s">
        <v>2542</v>
      </c>
      <c r="IW15" s="2">
        <f>3175.45/3</f>
        <v>1058.4833333333333</v>
      </c>
      <c r="IX15" s="490" t="s">
        <v>2468</v>
      </c>
      <c r="IY15" s="242">
        <v>65005</v>
      </c>
      <c r="IZ15" s="621" t="s">
        <v>2164</v>
      </c>
      <c r="JA15" s="514">
        <v>52.000999999999998</v>
      </c>
      <c r="JB15" s="245" t="s">
        <v>1835</v>
      </c>
      <c r="JC15" s="650">
        <v>2000</v>
      </c>
      <c r="JD15" s="490" t="s">
        <v>2468</v>
      </c>
      <c r="JE15" s="268">
        <v>65005</v>
      </c>
      <c r="JF15" s="670" t="s">
        <v>2716</v>
      </c>
      <c r="JG15" s="670">
        <f>6.24+2.24</f>
        <v>8.48</v>
      </c>
      <c r="JH15" s="245" t="s">
        <v>2769</v>
      </c>
      <c r="JI15" s="650">
        <v>155000</v>
      </c>
      <c r="JJ15" s="688" t="s">
        <v>2748</v>
      </c>
      <c r="JK15" s="268">
        <f>25000.29+90000.29+140000.29+10000</f>
        <v>265000.87</v>
      </c>
      <c r="JL15" s="724" t="s">
        <v>2603</v>
      </c>
      <c r="JM15" s="741"/>
      <c r="JN15" s="245" t="s">
        <v>2627</v>
      </c>
      <c r="JO15" s="52">
        <f>JO16*3</f>
        <v>2381.6025</v>
      </c>
      <c r="JP15" s="731" t="s">
        <v>2748</v>
      </c>
      <c r="JQ15" s="268">
        <f>25000.29+90000.29+140000.29+10000</f>
        <v>265000.87</v>
      </c>
      <c r="JR15" s="610"/>
    </row>
    <row r="16" spans="1:280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2695</v>
      </c>
      <c r="IU16" s="492">
        <v>7.57</v>
      </c>
      <c r="IV16" s="345" t="s">
        <v>2559</v>
      </c>
      <c r="IW16" s="61">
        <v>47.54</v>
      </c>
      <c r="IX16" s="576" t="s">
        <v>2550</v>
      </c>
      <c r="IY16" s="609">
        <v>4175</v>
      </c>
      <c r="IZ16" s="9" t="s">
        <v>2695</v>
      </c>
      <c r="JA16" s="678" t="s">
        <v>686</v>
      </c>
      <c r="JB16" s="245" t="s">
        <v>2627</v>
      </c>
      <c r="JC16" s="52">
        <f>JC17*2</f>
        <v>2116.98</v>
      </c>
      <c r="JD16" s="625" t="s">
        <v>2707</v>
      </c>
      <c r="JE16" s="609">
        <v>3083</v>
      </c>
      <c r="JF16" s="401" t="s">
        <v>2750</v>
      </c>
      <c r="JG16" s="510">
        <v>379.39</v>
      </c>
      <c r="JH16" s="345" t="s">
        <v>2781</v>
      </c>
      <c r="JI16" s="61" t="s">
        <v>657</v>
      </c>
      <c r="JJ16" s="674" t="s">
        <v>2707</v>
      </c>
      <c r="JK16" s="268">
        <v>99936</v>
      </c>
      <c r="JL16" s="724" t="s">
        <v>2773</v>
      </c>
      <c r="JM16" s="741">
        <v>7.0010000000000003</v>
      </c>
      <c r="JN16" s="345" t="s">
        <v>2781</v>
      </c>
      <c r="JO16" s="52">
        <f>3175.47/4</f>
        <v>793.86749999999995</v>
      </c>
      <c r="JP16" s="731" t="s">
        <v>2707</v>
      </c>
      <c r="JQ16" s="268">
        <v>7869</v>
      </c>
      <c r="JR16" s="610">
        <v>45043</v>
      </c>
      <c r="JS16" s="268"/>
    </row>
    <row r="17" spans="1:28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62" t="s">
        <v>1799</v>
      </c>
      <c r="IU17" s="573">
        <v>13.86</v>
      </c>
      <c r="IV17" s="345" t="s">
        <v>2176</v>
      </c>
      <c r="IW17" s="573">
        <f>30+59.31</f>
        <v>89.31</v>
      </c>
      <c r="IX17" s="620" t="s">
        <v>2628</v>
      </c>
      <c r="IY17" s="268">
        <v>10</v>
      </c>
      <c r="IZ17" s="662" t="s">
        <v>1799</v>
      </c>
      <c r="JA17" s="202" t="s">
        <v>686</v>
      </c>
      <c r="JB17" s="345" t="s">
        <v>2542</v>
      </c>
      <c r="JC17" s="52">
        <f>3175.47/3</f>
        <v>1058.49</v>
      </c>
      <c r="JD17" s="648" t="s">
        <v>2686</v>
      </c>
      <c r="JE17" s="268">
        <v>0</v>
      </c>
      <c r="JF17" s="401" t="s">
        <v>2751</v>
      </c>
      <c r="JG17" s="670">
        <v>442.61</v>
      </c>
      <c r="JH17" s="345" t="s">
        <v>2702</v>
      </c>
      <c r="JI17" s="61">
        <v>59.36</v>
      </c>
      <c r="JJ17" s="674" t="s">
        <v>2686</v>
      </c>
      <c r="JK17" s="268">
        <v>0</v>
      </c>
      <c r="JL17" s="724" t="s">
        <v>2716</v>
      </c>
      <c r="JM17" s="61"/>
      <c r="JN17" s="345" t="s">
        <v>2559</v>
      </c>
      <c r="JO17" s="61">
        <v>53.91</v>
      </c>
      <c r="JP17" s="731" t="s">
        <v>2686</v>
      </c>
      <c r="JQ17" s="268">
        <v>44</v>
      </c>
      <c r="JR17" s="610">
        <v>45036</v>
      </c>
    </row>
    <row r="18" spans="1:28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573" t="s">
        <v>2603</v>
      </c>
      <c r="IU18" s="492">
        <v>14</v>
      </c>
      <c r="IV18" s="345" t="s">
        <v>2632</v>
      </c>
      <c r="IW18" s="534">
        <v>110.02</v>
      </c>
      <c r="IX18" s="577" t="s">
        <v>2545</v>
      </c>
      <c r="IY18" s="573">
        <v>190</v>
      </c>
      <c r="IZ18" s="621" t="s">
        <v>2603</v>
      </c>
      <c r="JA18" s="492">
        <v>16.05</v>
      </c>
      <c r="JB18" s="345" t="s">
        <v>2623</v>
      </c>
      <c r="JC18" s="61">
        <v>110.79</v>
      </c>
      <c r="JD18" s="625" t="s">
        <v>2701</v>
      </c>
      <c r="JE18" s="268">
        <v>10</v>
      </c>
      <c r="JF18" s="401"/>
      <c r="JG18" s="510"/>
      <c r="JH18" s="345" t="s">
        <v>2723</v>
      </c>
      <c r="JI18" s="61">
        <v>30</v>
      </c>
      <c r="JJ18" s="731" t="s">
        <v>2789</v>
      </c>
      <c r="JK18" s="584">
        <v>44.23</v>
      </c>
      <c r="JL18" s="401"/>
      <c r="JM18" s="510"/>
      <c r="JN18" s="345" t="s">
        <v>2722</v>
      </c>
      <c r="JO18" s="61"/>
      <c r="JP18" s="731" t="s">
        <v>2789</v>
      </c>
      <c r="JQ18" s="584">
        <v>0</v>
      </c>
      <c r="JR18" s="610">
        <v>45037</v>
      </c>
      <c r="JS18" s="734"/>
      <c r="JT18" s="609"/>
    </row>
    <row r="19" spans="1:28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798" t="s">
        <v>1474</v>
      </c>
      <c r="DJ19" s="799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t="s">
        <v>2551</v>
      </c>
      <c r="IO19" s="492">
        <v>5</v>
      </c>
      <c r="IP19" s="345" t="s">
        <v>2530</v>
      </c>
      <c r="IQ19" s="61">
        <f>IM29</f>
        <v>21.35</v>
      </c>
      <c r="IR19" s="1" t="s">
        <v>2455</v>
      </c>
      <c r="IS19">
        <v>170</v>
      </c>
      <c r="IT19" s="402" t="s">
        <v>2639</v>
      </c>
      <c r="IU19" s="510">
        <v>6</v>
      </c>
      <c r="IV19" s="345" t="s">
        <v>2188</v>
      </c>
      <c r="IW19" s="61">
        <f>9</f>
        <v>9</v>
      </c>
      <c r="IX19" s="579" t="s">
        <v>2454</v>
      </c>
      <c r="IY19" s="573">
        <v>2013</v>
      </c>
      <c r="IZ19" s="649" t="s">
        <v>2716</v>
      </c>
      <c r="JA19" s="649">
        <f>5.9+2.12</f>
        <v>8.02</v>
      </c>
      <c r="JB19" s="345" t="s">
        <v>2722</v>
      </c>
      <c r="JC19" s="61">
        <v>109.57</v>
      </c>
      <c r="JD19" s="665" t="s">
        <v>2697</v>
      </c>
      <c r="JE19" s="621">
        <v>130</v>
      </c>
      <c r="JF19" s="690"/>
      <c r="JG19" s="690"/>
      <c r="JH19" s="345" t="s">
        <v>2630</v>
      </c>
      <c r="JI19" s="534">
        <v>115.37</v>
      </c>
      <c r="JJ19" s="674" t="s">
        <v>2701</v>
      </c>
      <c r="JK19" s="609">
        <v>10</v>
      </c>
      <c r="JL19" s="735"/>
      <c r="JM19" s="735"/>
      <c r="JN19" s="345" t="s">
        <v>2723</v>
      </c>
      <c r="JO19" s="61"/>
      <c r="JP19" s="731" t="s">
        <v>2701</v>
      </c>
      <c r="JQ19" s="609">
        <v>13</v>
      </c>
      <c r="JR19" s="610">
        <v>45041</v>
      </c>
    </row>
    <row r="20" spans="1:28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21" t="s">
        <v>2777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8" t="s">
        <v>2480</v>
      </c>
      <c r="IZ20" s="401"/>
      <c r="JA20" s="510"/>
      <c r="JB20" s="345" t="s">
        <v>2726</v>
      </c>
      <c r="JC20" s="61">
        <f>10+30</f>
        <v>40</v>
      </c>
      <c r="JD20" s="624" t="s">
        <v>2696</v>
      </c>
      <c r="JF20" s="401"/>
      <c r="JG20" s="510"/>
      <c r="JH20" s="345" t="s">
        <v>1195</v>
      </c>
      <c r="JI20" s="61">
        <f>6.5+15</f>
        <v>21.5</v>
      </c>
      <c r="JJ20" s="673" t="s">
        <v>2697</v>
      </c>
      <c r="JK20" s="670">
        <v>230</v>
      </c>
      <c r="JL20" s="401"/>
      <c r="JM20" s="510"/>
      <c r="JN20" s="345" t="s">
        <v>2800</v>
      </c>
      <c r="JO20" s="534" t="s">
        <v>2799</v>
      </c>
      <c r="JP20" s="730" t="s">
        <v>2697</v>
      </c>
      <c r="JQ20" s="724">
        <v>170</v>
      </c>
      <c r="JR20" s="108">
        <v>45041</v>
      </c>
    </row>
    <row r="21" spans="1:28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20" t="s">
        <v>2776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2520</v>
      </c>
      <c r="IQ21" s="61">
        <v>30</v>
      </c>
      <c r="IR21" s="7" t="s">
        <v>2454</v>
      </c>
      <c r="IS21">
        <v>2007</v>
      </c>
      <c r="IT21" s="402"/>
      <c r="IV21" s="337" t="s">
        <v>2614</v>
      </c>
      <c r="IW21" s="61">
        <v>80</v>
      </c>
      <c r="IX21" s="578"/>
      <c r="IZ21" s="664"/>
      <c r="JA21" s="664"/>
      <c r="JB21" s="345" t="s">
        <v>2630</v>
      </c>
      <c r="JC21" s="534">
        <v>115.37</v>
      </c>
      <c r="JD21" s="626" t="s">
        <v>2454</v>
      </c>
      <c r="JE21" s="621">
        <v>1000</v>
      </c>
      <c r="JF21" s="401"/>
      <c r="JG21" s="510"/>
      <c r="JH21" s="345" t="s">
        <v>2757</v>
      </c>
      <c r="JI21" s="61">
        <v>27</v>
      </c>
      <c r="JJ21" s="673" t="s">
        <v>2696</v>
      </c>
      <c r="JL21" s="401"/>
      <c r="JM21" s="510"/>
      <c r="JN21" s="345" t="s">
        <v>1195</v>
      </c>
      <c r="JO21" s="61">
        <f>15+6.5</f>
        <v>21.5</v>
      </c>
      <c r="JP21" s="730" t="s">
        <v>2696</v>
      </c>
      <c r="JR21" s="610"/>
    </row>
    <row r="22" spans="1:28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791" t="s">
        <v>507</v>
      </c>
      <c r="N22" s="791"/>
      <c r="Q22" s="166" t="s">
        <v>365</v>
      </c>
      <c r="S22" s="791" t="s">
        <v>507</v>
      </c>
      <c r="T22" s="79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78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45" t="s">
        <v>2171</v>
      </c>
      <c r="IU22" s="745"/>
      <c r="IV22" s="337" t="s">
        <v>2606</v>
      </c>
      <c r="IW22" s="61">
        <v>42.51</v>
      </c>
      <c r="IX22" s="578" t="s">
        <v>2423</v>
      </c>
      <c r="IZ22" s="401"/>
      <c r="JA22" s="510"/>
      <c r="JB22" s="345" t="s">
        <v>1195</v>
      </c>
      <c r="JC22" s="61">
        <f>13+30</f>
        <v>43</v>
      </c>
      <c r="JD22" s="623"/>
      <c r="JH22" s="345" t="s">
        <v>2188</v>
      </c>
      <c r="JI22" s="61">
        <f>9+14.32</f>
        <v>23.32</v>
      </c>
      <c r="JJ22" s="675" t="s">
        <v>2454</v>
      </c>
      <c r="JK22" s="670">
        <v>1000</v>
      </c>
      <c r="JN22" s="345" t="s">
        <v>2188</v>
      </c>
      <c r="JO22" s="61">
        <f>9</f>
        <v>9</v>
      </c>
      <c r="JP22" s="732" t="s">
        <v>2454</v>
      </c>
      <c r="JQ22" s="724">
        <v>1000</v>
      </c>
    </row>
    <row r="23" spans="1:28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789" t="s">
        <v>990</v>
      </c>
      <c r="N23" s="789"/>
      <c r="Q23" s="166" t="s">
        <v>369</v>
      </c>
      <c r="S23" s="789" t="s">
        <v>990</v>
      </c>
      <c r="T23" s="789"/>
      <c r="W23" s="244" t="s">
        <v>1019</v>
      </c>
      <c r="X23" s="142">
        <v>0</v>
      </c>
      <c r="Y23" s="791" t="s">
        <v>507</v>
      </c>
      <c r="Z23" s="79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78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45" t="s">
        <v>2171</v>
      </c>
      <c r="HK23" s="745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45" t="s">
        <v>2171</v>
      </c>
      <c r="HW23" s="745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2621</v>
      </c>
      <c r="IW23" s="61">
        <v>45.98</v>
      </c>
      <c r="IX23" s="619"/>
      <c r="IY23" s="585"/>
      <c r="IZ23" s="401"/>
      <c r="JA23" s="510"/>
      <c r="JB23" s="345" t="s">
        <v>2188</v>
      </c>
      <c r="JC23" s="61">
        <f>9+14.32</f>
        <v>23.32</v>
      </c>
      <c r="JD23" s="623"/>
      <c r="JF23" s="401"/>
      <c r="JG23" s="510"/>
      <c r="JH23" s="710" t="s">
        <v>2758</v>
      </c>
      <c r="JI23" s="533">
        <v>4.05</v>
      </c>
      <c r="JJ23" s="672" t="s">
        <v>2472</v>
      </c>
      <c r="JL23" s="401"/>
      <c r="JM23" s="510"/>
      <c r="JN23" s="345" t="s">
        <v>2808</v>
      </c>
      <c r="JO23" s="61" t="s">
        <v>2025</v>
      </c>
      <c r="JP23" s="743" t="s">
        <v>2480</v>
      </c>
      <c r="JQ23" s="742"/>
      <c r="JR23" s="742"/>
    </row>
    <row r="24" spans="1:280" x14ac:dyDescent="0.2">
      <c r="A24" s="791" t="s">
        <v>507</v>
      </c>
      <c r="B24" s="791"/>
      <c r="E24" s="164" t="s">
        <v>237</v>
      </c>
      <c r="F24" s="166"/>
      <c r="G24" s="791" t="s">
        <v>507</v>
      </c>
      <c r="H24" s="791"/>
      <c r="K24" s="244" t="s">
        <v>1019</v>
      </c>
      <c r="L24" s="142">
        <v>0</v>
      </c>
      <c r="M24" s="768"/>
      <c r="N24" s="768"/>
      <c r="Q24" s="166" t="s">
        <v>1056</v>
      </c>
      <c r="S24" s="768"/>
      <c r="T24" s="768"/>
      <c r="W24" s="244" t="s">
        <v>1027</v>
      </c>
      <c r="X24" s="205">
        <v>0</v>
      </c>
      <c r="Y24" s="789" t="s">
        <v>990</v>
      </c>
      <c r="Z24" s="789"/>
      <c r="AC24"/>
      <c r="AE24" s="791" t="s">
        <v>507</v>
      </c>
      <c r="AF24" s="791"/>
      <c r="AI24"/>
      <c r="AK24" s="791" t="s">
        <v>507</v>
      </c>
      <c r="AL24" s="79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787" t="s">
        <v>1536</v>
      </c>
      <c r="EF24" s="78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78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78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2624</v>
      </c>
      <c r="IW24" s="61">
        <v>45.2</v>
      </c>
      <c r="IX24" s="504"/>
      <c r="IZ24" s="401"/>
      <c r="JA24" s="510"/>
      <c r="JB24" s="345" t="s">
        <v>2464</v>
      </c>
      <c r="JC24" s="61">
        <v>96</v>
      </c>
      <c r="JD24" s="651"/>
      <c r="JF24" s="401"/>
      <c r="JG24" s="510"/>
      <c r="JH24" s="345" t="s">
        <v>2366</v>
      </c>
      <c r="JI24" s="61">
        <f>15.55+10+15.6+17.36+16.4+10+14.01+16.99+15.65</f>
        <v>131.56</v>
      </c>
      <c r="JJ24" s="672" t="s">
        <v>2423</v>
      </c>
      <c r="JL24" s="401"/>
      <c r="JM24" s="510"/>
      <c r="JN24" s="345" t="s">
        <v>2366</v>
      </c>
      <c r="JO24" s="61">
        <f>11.94+10+20.54</f>
        <v>42.48</v>
      </c>
      <c r="JP24" s="743" t="s">
        <v>2818</v>
      </c>
      <c r="JQ24" s="742">
        <v>14.8</v>
      </c>
      <c r="JR24" s="742"/>
    </row>
    <row r="25" spans="1:280" x14ac:dyDescent="0.2">
      <c r="A25" s="789" t="s">
        <v>990</v>
      </c>
      <c r="B25" s="789"/>
      <c r="E25" s="164" t="s">
        <v>139</v>
      </c>
      <c r="F25" s="166"/>
      <c r="G25" s="789" t="s">
        <v>990</v>
      </c>
      <c r="H25" s="789"/>
      <c r="K25" s="244" t="s">
        <v>1027</v>
      </c>
      <c r="L25" s="205">
        <v>0</v>
      </c>
      <c r="M25" s="768"/>
      <c r="N25" s="768"/>
      <c r="Q25" s="244" t="s">
        <v>1029</v>
      </c>
      <c r="R25" s="142">
        <v>0</v>
      </c>
      <c r="S25" s="768"/>
      <c r="T25" s="768"/>
      <c r="W25" s="244" t="s">
        <v>1050</v>
      </c>
      <c r="X25" s="142">
        <v>910.17</v>
      </c>
      <c r="Y25" s="768"/>
      <c r="Z25" s="768"/>
      <c r="AC25" s="248" t="s">
        <v>1083</v>
      </c>
      <c r="AD25" s="142">
        <v>90</v>
      </c>
      <c r="AE25" s="789" t="s">
        <v>990</v>
      </c>
      <c r="AF25" s="789"/>
      <c r="AI25" s="245" t="s">
        <v>1101</v>
      </c>
      <c r="AJ25" s="142">
        <v>30</v>
      </c>
      <c r="AK25" s="789" t="s">
        <v>990</v>
      </c>
      <c r="AL25" s="789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789"/>
      <c r="BH25" s="789"/>
      <c r="BK25" s="266" t="s">
        <v>1222</v>
      </c>
      <c r="BL25" s="205">
        <v>48.54</v>
      </c>
      <c r="BM25" s="789"/>
      <c r="BN25" s="789"/>
      <c r="BQ25" s="266" t="s">
        <v>1051</v>
      </c>
      <c r="BR25" s="205">
        <v>50.15</v>
      </c>
      <c r="BS25" s="789" t="s">
        <v>1245</v>
      </c>
      <c r="BT25" s="789"/>
      <c r="BW25" s="266" t="s">
        <v>1051</v>
      </c>
      <c r="BX25" s="205">
        <v>48.54</v>
      </c>
      <c r="BY25" s="789"/>
      <c r="BZ25" s="789"/>
      <c r="CC25" s="266" t="s">
        <v>1051</v>
      </c>
      <c r="CD25" s="205">
        <v>142.91</v>
      </c>
      <c r="CE25" s="789"/>
      <c r="CF25" s="789"/>
      <c r="CI25" s="266" t="s">
        <v>1312</v>
      </c>
      <c r="CJ25" s="205">
        <v>35.049999999999997</v>
      </c>
      <c r="CK25" s="768"/>
      <c r="CL25" s="768"/>
      <c r="CO25" s="266" t="s">
        <v>1286</v>
      </c>
      <c r="CP25" s="205">
        <v>153.41</v>
      </c>
      <c r="CQ25" s="768" t="s">
        <v>1327</v>
      </c>
      <c r="CR25" s="768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78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45" t="s">
        <v>2171</v>
      </c>
      <c r="IC25" s="745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2534</v>
      </c>
      <c r="IT25" s="362" t="s">
        <v>1392</v>
      </c>
      <c r="IU25" s="2">
        <f>SUM(IW10:IW12)</f>
        <v>2514.06</v>
      </c>
      <c r="IV25" s="337" t="s">
        <v>2622</v>
      </c>
      <c r="IW25" s="61">
        <v>54.7</v>
      </c>
      <c r="IX25" s="504"/>
      <c r="IY25" s="586"/>
      <c r="IZ25" s="402"/>
      <c r="JA25" s="661"/>
      <c r="JB25" s="345" t="s">
        <v>2366</v>
      </c>
      <c r="JC25" s="61">
        <f>17.98+13.67+17.8+15.37+10+15+12.85</f>
        <v>102.67</v>
      </c>
      <c r="JD25" s="660"/>
      <c r="JE25" s="659"/>
      <c r="JF25" s="402"/>
      <c r="JH25" s="337" t="s">
        <v>2779</v>
      </c>
      <c r="JI25" s="61">
        <v>20</v>
      </c>
      <c r="JJ25" s="691" t="s">
        <v>2759</v>
      </c>
      <c r="JK25" s="690">
        <v>59.4</v>
      </c>
      <c r="JL25" s="402"/>
      <c r="JN25" s="337" t="s">
        <v>1863</v>
      </c>
      <c r="JO25" s="61"/>
      <c r="JP25" s="729" t="s">
        <v>2423</v>
      </c>
    </row>
    <row r="26" spans="1:280" x14ac:dyDescent="0.2">
      <c r="A26" s="768"/>
      <c r="B26" s="768"/>
      <c r="E26" s="198" t="s">
        <v>362</v>
      </c>
      <c r="F26" s="170"/>
      <c r="G26" s="768"/>
      <c r="H26" s="768"/>
      <c r="K26" s="244" t="s">
        <v>1018</v>
      </c>
      <c r="L26" s="142">
        <f>910+40</f>
        <v>950</v>
      </c>
      <c r="M26" s="768"/>
      <c r="N26" s="768"/>
      <c r="Q26" s="244" t="s">
        <v>1026</v>
      </c>
      <c r="R26" s="142">
        <v>0</v>
      </c>
      <c r="S26" s="768"/>
      <c r="T26" s="768"/>
      <c r="W26" s="143" t="s">
        <v>1085</v>
      </c>
      <c r="X26" s="142">
        <v>110.58</v>
      </c>
      <c r="Y26" s="768"/>
      <c r="Z26" s="768"/>
      <c r="AE26" s="768"/>
      <c r="AF26" s="768"/>
      <c r="AK26" s="768"/>
      <c r="AL26" s="768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68"/>
      <c r="AX26" s="768"/>
      <c r="AY26" s="143"/>
      <c r="AZ26" s="205"/>
      <c r="BA26" s="768"/>
      <c r="BB26" s="768"/>
      <c r="BE26" s="143" t="s">
        <v>1195</v>
      </c>
      <c r="BF26" s="205">
        <f>6.5*2</f>
        <v>13</v>
      </c>
      <c r="BG26" s="768"/>
      <c r="BH26" s="768"/>
      <c r="BK26" s="266" t="s">
        <v>1195</v>
      </c>
      <c r="BL26" s="205">
        <f>6.5*2</f>
        <v>13</v>
      </c>
      <c r="BM26" s="768"/>
      <c r="BN26" s="768"/>
      <c r="BQ26" s="266" t="s">
        <v>1195</v>
      </c>
      <c r="BR26" s="205">
        <v>13</v>
      </c>
      <c r="BS26" s="768"/>
      <c r="BT26" s="768"/>
      <c r="BW26" s="266" t="s">
        <v>1195</v>
      </c>
      <c r="BX26" s="205">
        <v>13</v>
      </c>
      <c r="BY26" s="768"/>
      <c r="BZ26" s="768"/>
      <c r="CC26" s="266" t="s">
        <v>1195</v>
      </c>
      <c r="CD26" s="205">
        <v>13</v>
      </c>
      <c r="CE26" s="768"/>
      <c r="CF26" s="768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04" t="s">
        <v>1536</v>
      </c>
      <c r="DZ26" s="805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787" t="s">
        <v>1536</v>
      </c>
      <c r="ES26" s="787"/>
      <c r="ET26" s="1" t="s">
        <v>1703</v>
      </c>
      <c r="EU26" s="272">
        <v>20000</v>
      </c>
      <c r="EW26" s="78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3" t="s">
        <v>2478</v>
      </c>
      <c r="IW26" s="78">
        <f>2+59+11+23</f>
        <v>95</v>
      </c>
      <c r="IX26" s="578"/>
      <c r="IZ26" s="661"/>
      <c r="JA26" s="661"/>
      <c r="JB26" s="337" t="s">
        <v>2712</v>
      </c>
      <c r="JC26" s="61">
        <v>10</v>
      </c>
      <c r="JH26" s="337" t="s">
        <v>2754</v>
      </c>
      <c r="JI26" s="61">
        <v>30</v>
      </c>
      <c r="JJ26" s="709" t="s">
        <v>2760</v>
      </c>
      <c r="JK26" s="670">
        <v>75.599999999999994</v>
      </c>
      <c r="JN26" s="337" t="s">
        <v>2806</v>
      </c>
      <c r="JO26" s="61">
        <v>50.23</v>
      </c>
      <c r="JP26" s="744"/>
      <c r="JS26" s="2"/>
    </row>
    <row r="27" spans="1:280" x14ac:dyDescent="0.2">
      <c r="A27" s="768"/>
      <c r="B27" s="768"/>
      <c r="F27" s="194"/>
      <c r="G27" s="768"/>
      <c r="H27" s="768"/>
      <c r="K27"/>
      <c r="M27" s="794" t="s">
        <v>506</v>
      </c>
      <c r="N27" s="794"/>
      <c r="Q27" s="244" t="s">
        <v>1019</v>
      </c>
      <c r="R27" s="142">
        <v>0</v>
      </c>
      <c r="S27" s="794" t="s">
        <v>506</v>
      </c>
      <c r="T27" s="794"/>
      <c r="W27" s="143" t="s">
        <v>1051</v>
      </c>
      <c r="X27" s="142">
        <v>60.75</v>
      </c>
      <c r="Y27" s="768"/>
      <c r="Z27" s="768"/>
      <c r="AC27" s="219" t="s">
        <v>1092</v>
      </c>
      <c r="AD27" s="219"/>
      <c r="AE27" s="794" t="s">
        <v>506</v>
      </c>
      <c r="AF27" s="794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787" t="s">
        <v>1536</v>
      </c>
      <c r="EY27" s="78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45" t="s">
        <v>2171</v>
      </c>
      <c r="HQ27" s="745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3" t="s">
        <v>506</v>
      </c>
      <c r="IZ27" s="401"/>
      <c r="JA27" s="510"/>
      <c r="JB27" s="337" t="s">
        <v>2718</v>
      </c>
      <c r="JC27" s="61">
        <v>7</v>
      </c>
      <c r="JD27" s="621" t="s">
        <v>506</v>
      </c>
      <c r="JF27" s="680" t="s">
        <v>2728</v>
      </c>
      <c r="JG27" s="680"/>
      <c r="JH27" s="337" t="s">
        <v>2782</v>
      </c>
      <c r="JI27" s="61">
        <f>55.72+65.82</f>
        <v>121.53999999999999</v>
      </c>
      <c r="JJ27" s="689"/>
      <c r="JL27" s="738" t="s">
        <v>2812</v>
      </c>
      <c r="JM27" s="738"/>
      <c r="JN27" s="337" t="s">
        <v>2817</v>
      </c>
      <c r="JO27" s="61">
        <f>9+2</f>
        <v>11</v>
      </c>
      <c r="JP27" s="729" t="s">
        <v>2472</v>
      </c>
    </row>
    <row r="28" spans="1:280" x14ac:dyDescent="0.2">
      <c r="A28" s="768"/>
      <c r="B28" s="768"/>
      <c r="E28" s="193" t="s">
        <v>360</v>
      </c>
      <c r="F28" s="194"/>
      <c r="G28" s="768"/>
      <c r="H28" s="768"/>
      <c r="K28" s="143" t="s">
        <v>1017</v>
      </c>
      <c r="L28" s="142">
        <f>60</f>
        <v>60</v>
      </c>
      <c r="M28" s="794" t="s">
        <v>992</v>
      </c>
      <c r="N28" s="794"/>
      <c r="Q28" s="244" t="s">
        <v>1073</v>
      </c>
      <c r="R28" s="205">
        <v>200</v>
      </c>
      <c r="S28" s="794" t="s">
        <v>992</v>
      </c>
      <c r="T28" s="794"/>
      <c r="W28" s="143" t="s">
        <v>1016</v>
      </c>
      <c r="X28" s="142">
        <v>61.35</v>
      </c>
      <c r="Y28" s="794" t="s">
        <v>506</v>
      </c>
      <c r="Z28" s="794"/>
      <c r="AC28" s="219" t="s">
        <v>1088</v>
      </c>
      <c r="AD28" s="219">
        <f>53+207+63</f>
        <v>323</v>
      </c>
      <c r="AE28" s="794" t="s">
        <v>992</v>
      </c>
      <c r="AF28" s="794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787" t="s">
        <v>1747</v>
      </c>
      <c r="FE28" s="78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2599</v>
      </c>
      <c r="HW28">
        <f>SUM(HY45:HY52)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401"/>
      <c r="JA28" s="510"/>
      <c r="JB28" s="337" t="s">
        <v>2638</v>
      </c>
      <c r="JC28" s="61">
        <v>34</v>
      </c>
      <c r="JD28" s="621" t="s">
        <v>93</v>
      </c>
      <c r="JF28" s="192" t="s">
        <v>1959</v>
      </c>
      <c r="JG28" s="286">
        <f>SUM(JI6:JI7)</f>
        <v>3900.1</v>
      </c>
      <c r="JH28" s="337" t="s">
        <v>2783</v>
      </c>
      <c r="JI28" s="61">
        <f>44.8+43.4</f>
        <v>88.199999999999989</v>
      </c>
      <c r="JJ28" s="714"/>
      <c r="JL28" s="192" t="s">
        <v>1959</v>
      </c>
      <c r="JM28" s="286">
        <f>SUM(JO6:JO7)</f>
        <v>2900.12</v>
      </c>
      <c r="JN28" s="337" t="s">
        <v>1863</v>
      </c>
      <c r="JO28" s="61"/>
      <c r="JP28" s="737" t="s">
        <v>2803</v>
      </c>
      <c r="JQ28" s="724">
        <v>54</v>
      </c>
    </row>
    <row r="29" spans="1:280" x14ac:dyDescent="0.2">
      <c r="A29" s="794" t="s">
        <v>506</v>
      </c>
      <c r="B29" s="794"/>
      <c r="E29" s="193" t="s">
        <v>282</v>
      </c>
      <c r="F29" s="194"/>
      <c r="G29" s="794" t="s">
        <v>506</v>
      </c>
      <c r="H29" s="794"/>
      <c r="K29" s="143" t="s">
        <v>1016</v>
      </c>
      <c r="L29" s="142">
        <v>0</v>
      </c>
      <c r="M29" s="793" t="s">
        <v>93</v>
      </c>
      <c r="N29" s="793"/>
      <c r="Q29" s="244" t="s">
        <v>1050</v>
      </c>
      <c r="R29" s="142">
        <v>0</v>
      </c>
      <c r="S29" s="793" t="s">
        <v>93</v>
      </c>
      <c r="T29" s="793"/>
      <c r="W29" s="143" t="s">
        <v>1015</v>
      </c>
      <c r="X29" s="142">
        <v>64</v>
      </c>
      <c r="Y29" s="794" t="s">
        <v>992</v>
      </c>
      <c r="Z29" s="794"/>
      <c r="AC29" s="219" t="s">
        <v>1089</v>
      </c>
      <c r="AD29" s="219">
        <f>63+46</f>
        <v>109</v>
      </c>
      <c r="AE29" s="793" t="s">
        <v>93</v>
      </c>
      <c r="AF29" s="793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787" t="s">
        <v>1536</v>
      </c>
      <c r="EM29" s="78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2778</v>
      </c>
      <c r="IU29" s="573">
        <f>SUM(IW22:IW25)</f>
        <v>188.39</v>
      </c>
      <c r="IV29" s="386" t="s">
        <v>1411</v>
      </c>
      <c r="IW29" s="408">
        <f>IS19+IU30-IY18</f>
        <v>70</v>
      </c>
      <c r="IX29" s="573" t="s">
        <v>93</v>
      </c>
      <c r="IZ29" s="402"/>
      <c r="JA29" s="649"/>
      <c r="JB29" s="337" t="s">
        <v>2673</v>
      </c>
      <c r="JC29" s="61">
        <v>64.75</v>
      </c>
      <c r="JD29" s="621" t="s">
        <v>1034</v>
      </c>
      <c r="JF29" s="388" t="s">
        <v>1960</v>
      </c>
      <c r="JG29" s="286">
        <f>SUM(JI12:JI15)</f>
        <v>156875.80412602739</v>
      </c>
      <c r="JH29" s="337" t="s">
        <v>2749</v>
      </c>
      <c r="JI29" s="533">
        <v>40.9</v>
      </c>
      <c r="JL29" s="388" t="s">
        <v>1960</v>
      </c>
      <c r="JM29" s="286">
        <f>SUM(JO12:JO15)</f>
        <v>113778.50249999999</v>
      </c>
      <c r="JN29" s="337" t="s">
        <v>1863</v>
      </c>
      <c r="JO29" s="533"/>
      <c r="JP29" s="724" t="s">
        <v>2816</v>
      </c>
      <c r="JQ29" s="724">
        <v>162</v>
      </c>
    </row>
    <row r="30" spans="1:280" x14ac:dyDescent="0.2">
      <c r="A30" s="794" t="s">
        <v>992</v>
      </c>
      <c r="B30" s="794"/>
      <c r="E30" s="193" t="s">
        <v>372</v>
      </c>
      <c r="F30" s="194"/>
      <c r="G30" s="794" t="s">
        <v>992</v>
      </c>
      <c r="H30" s="794"/>
      <c r="K30" s="143" t="s">
        <v>1015</v>
      </c>
      <c r="L30" s="142">
        <v>64</v>
      </c>
      <c r="M30" s="768" t="s">
        <v>385</v>
      </c>
      <c r="N30" s="768"/>
      <c r="Q30"/>
      <c r="S30" s="768" t="s">
        <v>385</v>
      </c>
      <c r="T30" s="768"/>
      <c r="W30" s="143" t="s">
        <v>1014</v>
      </c>
      <c r="X30" s="142">
        <v>100.01</v>
      </c>
      <c r="Y30" s="793" t="s">
        <v>93</v>
      </c>
      <c r="Z30" s="793"/>
      <c r="AC30" s="142" t="s">
        <v>1087</v>
      </c>
      <c r="AD30" s="142">
        <v>65</v>
      </c>
      <c r="AE30" s="768" t="s">
        <v>385</v>
      </c>
      <c r="AF30" s="768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787" t="s">
        <v>1747</v>
      </c>
      <c r="FK30" s="78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2778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2778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2555</v>
      </c>
      <c r="IQ30" s="61" t="s">
        <v>2556</v>
      </c>
      <c r="IR30" s="542"/>
      <c r="IS30" s="527"/>
      <c r="IT30" s="574" t="s">
        <v>2557</v>
      </c>
      <c r="IU30" s="353">
        <v>90</v>
      </c>
      <c r="IV30" s="409">
        <v>5</v>
      </c>
      <c r="IW30" s="543" t="s">
        <v>2554</v>
      </c>
      <c r="IX30" s="573" t="s">
        <v>2381</v>
      </c>
      <c r="JB30" s="663" t="s">
        <v>2693</v>
      </c>
      <c r="JC30" s="533">
        <f>3.3+7.001</f>
        <v>10.301</v>
      </c>
      <c r="JF30" s="350" t="s">
        <v>1392</v>
      </c>
      <c r="JG30" s="681">
        <f>SUM(JI8:JI8)</f>
        <v>327.74</v>
      </c>
      <c r="JH30" s="337" t="s">
        <v>2753</v>
      </c>
      <c r="JI30" s="533">
        <f>8.65*2</f>
        <v>17.3</v>
      </c>
      <c r="JJ30" s="670" t="s">
        <v>506</v>
      </c>
      <c r="JL30" s="350" t="s">
        <v>1392</v>
      </c>
      <c r="JM30" s="724">
        <f>SUM(JO8:JO9)</f>
        <v>175.82999999999998</v>
      </c>
      <c r="JN30" s="337" t="s">
        <v>1863</v>
      </c>
      <c r="JO30" s="533"/>
      <c r="JP30" s="724" t="s">
        <v>2819</v>
      </c>
      <c r="JQ30" s="724">
        <v>38.85</v>
      </c>
    </row>
    <row r="31" spans="1:280" ht="12.75" customHeight="1" x14ac:dyDescent="0.2">
      <c r="A31" s="793" t="s">
        <v>93</v>
      </c>
      <c r="B31" s="793"/>
      <c r="E31" s="193" t="s">
        <v>1007</v>
      </c>
      <c r="F31" s="170"/>
      <c r="G31" s="793" t="s">
        <v>93</v>
      </c>
      <c r="H31" s="793"/>
      <c r="K31" s="143" t="s">
        <v>1014</v>
      </c>
      <c r="L31" s="142">
        <v>50.01</v>
      </c>
      <c r="M31" s="792" t="s">
        <v>1001</v>
      </c>
      <c r="N31" s="792"/>
      <c r="Q31" s="143" t="s">
        <v>1052</v>
      </c>
      <c r="R31" s="142">
        <v>26</v>
      </c>
      <c r="S31" s="792" t="s">
        <v>1001</v>
      </c>
      <c r="T31" s="792"/>
      <c r="W31"/>
      <c r="Y31" s="768" t="s">
        <v>385</v>
      </c>
      <c r="Z31" s="768"/>
      <c r="AC31" s="142" t="s">
        <v>1090</v>
      </c>
      <c r="AD31" s="142">
        <v>10</v>
      </c>
      <c r="AE31" s="792" t="s">
        <v>1001</v>
      </c>
      <c r="AF31" s="792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2519</v>
      </c>
      <c r="IQ31" s="61">
        <v>42.17</v>
      </c>
      <c r="IR31" s="544"/>
      <c r="IV31" s="409">
        <v>50</v>
      </c>
      <c r="IW31" s="543" t="s">
        <v>1828</v>
      </c>
      <c r="IX31" s="573" t="s">
        <v>1674</v>
      </c>
      <c r="IZ31" s="401"/>
      <c r="JA31" s="510"/>
      <c r="JB31" s="663" t="s">
        <v>2694</v>
      </c>
      <c r="JC31" s="533">
        <v>74.959999999999994</v>
      </c>
      <c r="JF31" s="346" t="s">
        <v>2166</v>
      </c>
      <c r="JG31" s="681">
        <f>SUM(JI9:JI11)</f>
        <v>2683.17</v>
      </c>
      <c r="JH31" s="337" t="s">
        <v>2766</v>
      </c>
      <c r="JI31" s="533">
        <f>6.2+29.5</f>
        <v>35.700000000000003</v>
      </c>
      <c r="JJ31" s="670" t="s">
        <v>93</v>
      </c>
      <c r="JL31" s="346" t="s">
        <v>2166</v>
      </c>
      <c r="JM31" s="724">
        <f>SUM(JO10:JO11)</f>
        <v>0</v>
      </c>
      <c r="JN31" s="337" t="s">
        <v>1863</v>
      </c>
      <c r="JO31" s="533"/>
    </row>
    <row r="32" spans="1:280" x14ac:dyDescent="0.2">
      <c r="A32" s="768" t="s">
        <v>385</v>
      </c>
      <c r="B32" s="768"/>
      <c r="E32" s="170"/>
      <c r="F32" s="170"/>
      <c r="G32" s="768" t="s">
        <v>385</v>
      </c>
      <c r="H32" s="768"/>
      <c r="K32"/>
      <c r="M32" s="789" t="s">
        <v>243</v>
      </c>
      <c r="N32" s="789"/>
      <c r="Q32" s="143" t="s">
        <v>1051</v>
      </c>
      <c r="R32" s="142">
        <v>55</v>
      </c>
      <c r="S32" s="789" t="s">
        <v>243</v>
      </c>
      <c r="T32" s="789"/>
      <c r="W32" s="243" t="s">
        <v>1072</v>
      </c>
      <c r="X32" s="243">
        <v>0</v>
      </c>
      <c r="Y32" s="792" t="s">
        <v>1001</v>
      </c>
      <c r="Z32" s="792"/>
      <c r="AE32" s="789" t="s">
        <v>243</v>
      </c>
      <c r="AF32" s="789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797" t="s">
        <v>1438</v>
      </c>
      <c r="DP32" s="797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2778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45" t="s">
        <v>2171</v>
      </c>
      <c r="IO32" s="745"/>
      <c r="IP32" s="337" t="s">
        <v>2547</v>
      </c>
      <c r="IQ32" s="61">
        <v>6.5</v>
      </c>
      <c r="IR32" t="s">
        <v>506</v>
      </c>
      <c r="IV32" s="409">
        <v>10</v>
      </c>
      <c r="IW32" s="543" t="s">
        <v>2626</v>
      </c>
      <c r="IZ32" s="401"/>
      <c r="JA32" s="510"/>
      <c r="JB32" s="663" t="s">
        <v>2717</v>
      </c>
      <c r="JC32" s="533">
        <v>74.13</v>
      </c>
      <c r="JF32" s="348" t="s">
        <v>2167</v>
      </c>
      <c r="JG32" s="411">
        <f>SUM(JI16:JI24)</f>
        <v>412.16</v>
      </c>
      <c r="JH32" s="670" t="s">
        <v>2729</v>
      </c>
      <c r="JI32" s="78">
        <v>78</v>
      </c>
      <c r="JJ32" s="670" t="s">
        <v>1034</v>
      </c>
      <c r="JL32" s="348" t="s">
        <v>2167</v>
      </c>
      <c r="JM32" s="411">
        <f>SUM(JO16:JO24)</f>
        <v>920.75749999999994</v>
      </c>
      <c r="JN32" s="724" t="s">
        <v>2729</v>
      </c>
      <c r="JO32" s="78">
        <v>20</v>
      </c>
    </row>
    <row r="33" spans="1:278" x14ac:dyDescent="0.2">
      <c r="A33" s="792" t="s">
        <v>1001</v>
      </c>
      <c r="B33" s="792"/>
      <c r="C33" s="3"/>
      <c r="D33" s="3"/>
      <c r="E33" s="246"/>
      <c r="F33" s="246"/>
      <c r="G33" s="792" t="s">
        <v>1001</v>
      </c>
      <c r="H33" s="792"/>
      <c r="K33" s="243" t="s">
        <v>1021</v>
      </c>
      <c r="L33" s="243"/>
      <c r="M33" s="795" t="s">
        <v>1034</v>
      </c>
      <c r="N33" s="795"/>
      <c r="Q33" s="143" t="s">
        <v>1016</v>
      </c>
      <c r="R33" s="142">
        <v>77.239999999999995</v>
      </c>
      <c r="S33" s="795" t="s">
        <v>1034</v>
      </c>
      <c r="T33" s="795"/>
      <c r="Y33" s="789" t="s">
        <v>243</v>
      </c>
      <c r="Z33" s="789"/>
      <c r="AC33" s="197" t="s">
        <v>1012</v>
      </c>
      <c r="AD33" s="142">
        <v>350</v>
      </c>
      <c r="AE33" s="795" t="s">
        <v>1034</v>
      </c>
      <c r="AF33" s="795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00" t="s">
        <v>1411</v>
      </c>
      <c r="DB33" s="801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2599</v>
      </c>
      <c r="IC33" s="605">
        <f>SUM(IE52:IE56)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3" t="s">
        <v>2608</v>
      </c>
      <c r="IW33" s="532">
        <v>70</v>
      </c>
      <c r="IZ33" s="402"/>
      <c r="JB33" s="663" t="s">
        <v>2720</v>
      </c>
      <c r="JC33" s="533">
        <v>24.71</v>
      </c>
      <c r="JF33" s="337" t="s">
        <v>2165</v>
      </c>
      <c r="JG33" s="670">
        <f>SUM(JI25:JI31)</f>
        <v>353.64</v>
      </c>
      <c r="JH33" s="9" t="s">
        <v>2197</v>
      </c>
      <c r="JI33" s="534">
        <f>158+69+34+259</f>
        <v>520</v>
      </c>
      <c r="JL33" s="337" t="s">
        <v>2165</v>
      </c>
      <c r="JM33" s="724">
        <f>SUM(JO25:JO31)</f>
        <v>61.23</v>
      </c>
      <c r="JN33" s="9" t="s">
        <v>2197</v>
      </c>
      <c r="JO33" s="534">
        <f>250</f>
        <v>250</v>
      </c>
      <c r="JP33" s="724" t="s">
        <v>506</v>
      </c>
    </row>
    <row r="34" spans="1:278" x14ac:dyDescent="0.2">
      <c r="A34" s="789" t="s">
        <v>243</v>
      </c>
      <c r="B34" s="789"/>
      <c r="E34" s="170"/>
      <c r="F34" s="170"/>
      <c r="G34" s="789" t="s">
        <v>243</v>
      </c>
      <c r="H34" s="789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795" t="s">
        <v>1034</v>
      </c>
      <c r="Z34" s="795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2588</v>
      </c>
      <c r="IW34" s="573">
        <v>8.67</v>
      </c>
      <c r="IZ34" s="745" t="s">
        <v>2171</v>
      </c>
      <c r="JA34" s="745"/>
      <c r="JB34" s="337" t="s">
        <v>2715</v>
      </c>
      <c r="JC34" s="61">
        <v>55</v>
      </c>
      <c r="JF34" s="337" t="s">
        <v>2778</v>
      </c>
      <c r="JG34" s="670">
        <f>SUM(JI27:JI31)</f>
        <v>303.64</v>
      </c>
      <c r="JH34" s="412">
        <v>23.04</v>
      </c>
      <c r="JI34" s="534"/>
      <c r="JL34" s="337" t="s">
        <v>2778</v>
      </c>
      <c r="JM34" s="724">
        <f>SUM(JO27:JO31)</f>
        <v>11</v>
      </c>
      <c r="JN34" s="412">
        <v>23.04</v>
      </c>
      <c r="JO34" s="534"/>
      <c r="JP34" s="724" t="s">
        <v>93</v>
      </c>
    </row>
    <row r="35" spans="1:278" ht="14.25" customHeight="1" x14ac:dyDescent="0.25">
      <c r="A35" s="796" t="s">
        <v>342</v>
      </c>
      <c r="B35" s="796"/>
      <c r="E35" s="187" t="s">
        <v>368</v>
      </c>
      <c r="F35" s="170"/>
      <c r="G35" s="796" t="s">
        <v>342</v>
      </c>
      <c r="H35" s="796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2778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2588</v>
      </c>
      <c r="IW35" s="533">
        <v>23.08</v>
      </c>
      <c r="IZ35" s="192" t="s">
        <v>1959</v>
      </c>
      <c r="JA35" s="273">
        <f>SUM(JC7:JC7)</f>
        <v>1900.03</v>
      </c>
      <c r="JB35" s="621" t="s">
        <v>2730</v>
      </c>
      <c r="JC35" s="78">
        <v>16.87</v>
      </c>
      <c r="JH35" s="386" t="s">
        <v>1411</v>
      </c>
      <c r="JI35" s="408">
        <f>JE19+JG37-JK20</f>
        <v>100</v>
      </c>
      <c r="JN35" s="386" t="s">
        <v>1411</v>
      </c>
      <c r="JO35" s="408">
        <f>JK20+JM36-JQ20</f>
        <v>510</v>
      </c>
      <c r="JP35" s="724" t="s">
        <v>1034</v>
      </c>
    </row>
    <row r="36" spans="1:278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2597</v>
      </c>
      <c r="IW36" s="533">
        <v>6.37</v>
      </c>
      <c r="IZ36" s="245" t="s">
        <v>1960</v>
      </c>
      <c r="JA36" s="273">
        <f>SUM(JC14:JC16)</f>
        <v>4142.9809999999998</v>
      </c>
      <c r="JB36" s="9" t="s">
        <v>2197</v>
      </c>
      <c r="JC36" s="534">
        <f>204+76+114+103</f>
        <v>497</v>
      </c>
      <c r="JH36" s="409">
        <v>8</v>
      </c>
      <c r="JI36" s="543" t="s">
        <v>2727</v>
      </c>
      <c r="JL36" s="727" t="s">
        <v>2813</v>
      </c>
      <c r="JM36" s="353">
        <f>50+400</f>
        <v>450</v>
      </c>
      <c r="JN36" s="409">
        <v>20</v>
      </c>
      <c r="JO36" s="543" t="s">
        <v>1828</v>
      </c>
    </row>
    <row r="37" spans="1:278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02" t="s">
        <v>1536</v>
      </c>
      <c r="DT37" s="803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2607</v>
      </c>
      <c r="IW37" s="533">
        <v>104.35</v>
      </c>
      <c r="IZ37" s="350" t="s">
        <v>1392</v>
      </c>
      <c r="JA37" s="2">
        <f>SUM(JC8:JC10)</f>
        <v>1354.32</v>
      </c>
      <c r="JB37" s="412">
        <v>23.85</v>
      </c>
      <c r="JC37" s="534"/>
      <c r="JF37" s="679" t="s">
        <v>2755</v>
      </c>
      <c r="JG37" s="353">
        <v>200</v>
      </c>
      <c r="JH37" s="409">
        <v>8</v>
      </c>
      <c r="JI37" s="543" t="s">
        <v>2733</v>
      </c>
      <c r="JN37" s="409">
        <v>30</v>
      </c>
      <c r="JO37" s="543" t="s">
        <v>2820</v>
      </c>
    </row>
    <row r="38" spans="1:278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2607</v>
      </c>
      <c r="IW38" s="533">
        <v>51.81</v>
      </c>
      <c r="IZ38" s="346" t="s">
        <v>2166</v>
      </c>
      <c r="JA38" s="2">
        <f>SUM(JC11:JC13)</f>
        <v>762.4899999999999</v>
      </c>
      <c r="JB38" s="386" t="s">
        <v>1411</v>
      </c>
      <c r="JC38" s="408">
        <f>IY18+JA42-JE19</f>
        <v>260</v>
      </c>
      <c r="JH38" s="409">
        <v>70</v>
      </c>
      <c r="JI38" s="543" t="s">
        <v>1828</v>
      </c>
      <c r="JN38" s="409">
        <v>50</v>
      </c>
      <c r="JO38" s="543" t="s">
        <v>2805</v>
      </c>
      <c r="JP38" s="724" t="s">
        <v>2780</v>
      </c>
    </row>
    <row r="39" spans="1:278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IA28+IC41-IG23</f>
        <v>175</v>
      </c>
      <c r="IH39" s="402"/>
      <c r="IJ39" s="386" t="s">
        <v>1411</v>
      </c>
      <c r="IK39" s="408">
        <f>IG23+II48-IM23</f>
        <v>230</v>
      </c>
      <c r="IN39" s="337" t="s">
        <v>2778</v>
      </c>
      <c r="IO39">
        <f>SUM(IQ25:IQ32)</f>
        <v>303.81</v>
      </c>
      <c r="IP39" s="409">
        <v>7.9</v>
      </c>
      <c r="IQ39" s="543" t="s">
        <v>2470</v>
      </c>
      <c r="IV39" s="504" t="s">
        <v>2607</v>
      </c>
      <c r="IW39" s="533">
        <v>28.77</v>
      </c>
      <c r="IZ39" s="348" t="s">
        <v>2167</v>
      </c>
      <c r="JA39" s="2">
        <f>SUM(JC17:JC25)</f>
        <v>1699.2099999999998</v>
      </c>
      <c r="JB39" s="409">
        <v>130</v>
      </c>
      <c r="JC39" s="543" t="s">
        <v>2635</v>
      </c>
      <c r="JH39" s="409">
        <v>10</v>
      </c>
      <c r="JI39" s="543" t="s">
        <v>2752</v>
      </c>
      <c r="JN39" s="409">
        <v>9</v>
      </c>
      <c r="JO39" s="543" t="s">
        <v>2804</v>
      </c>
    </row>
    <row r="40" spans="1:278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797" t="s">
        <v>1438</v>
      </c>
      <c r="DJ40" s="797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45" t="s">
        <v>2171</v>
      </c>
      <c r="II40" s="745"/>
      <c r="IJ40" s="409">
        <v>20</v>
      </c>
      <c r="IK40" s="340" t="s">
        <v>2407</v>
      </c>
      <c r="IN40" s="340" t="s">
        <v>2541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IZ40" s="337" t="s">
        <v>2165</v>
      </c>
      <c r="JA40" s="2">
        <f>SUM(JC26:JC34)</f>
        <v>354.85099999999994</v>
      </c>
      <c r="JB40" s="409">
        <v>30</v>
      </c>
      <c r="JC40" s="543" t="s">
        <v>2669</v>
      </c>
      <c r="JH40" s="409">
        <v>12</v>
      </c>
      <c r="JI40" s="543" t="s">
        <v>2756</v>
      </c>
      <c r="JM40" s="494"/>
      <c r="JN40" s="409">
        <v>18</v>
      </c>
      <c r="JO40" s="543" t="s">
        <v>2809</v>
      </c>
    </row>
    <row r="41" spans="1:278" x14ac:dyDescent="0.2">
      <c r="K41" s="197" t="s">
        <v>1012</v>
      </c>
      <c r="L41" s="142">
        <v>300.01</v>
      </c>
      <c r="W41" s="142" t="s">
        <v>1070</v>
      </c>
      <c r="X41" s="142">
        <v>159</v>
      </c>
      <c r="AO41" s="251" t="s">
        <v>1190</v>
      </c>
      <c r="AP41" s="142">
        <v>-99.81</v>
      </c>
      <c r="BE41" s="142" t="s">
        <v>1167</v>
      </c>
      <c r="BF41" s="142">
        <v>400</v>
      </c>
      <c r="BW41" s="218" t="s">
        <v>1167</v>
      </c>
      <c r="BX41" s="218">
        <v>400</v>
      </c>
      <c r="CC41" s="218" t="s">
        <v>1278</v>
      </c>
      <c r="CD41" s="218">
        <v>320</v>
      </c>
      <c r="CI41" s="218" t="s">
        <v>1339</v>
      </c>
      <c r="CJ41" s="218">
        <v>50</v>
      </c>
      <c r="CO41" s="218" t="s">
        <v>1360</v>
      </c>
      <c r="CP41" s="218">
        <v>200</v>
      </c>
      <c r="CU41" s="218" t="s">
        <v>1339</v>
      </c>
      <c r="CV41" s="218">
        <v>100</v>
      </c>
      <c r="DA41" s="218" t="s">
        <v>1381</v>
      </c>
      <c r="DB41" s="218">
        <v>296.14</v>
      </c>
      <c r="DG41" s="295" t="s">
        <v>1477</v>
      </c>
      <c r="DH41" s="279">
        <v>40</v>
      </c>
      <c r="DI41" s="290" t="s">
        <v>1486</v>
      </c>
      <c r="DJ41" s="290">
        <v>200</v>
      </c>
      <c r="DM41" s="217" t="s">
        <v>1523</v>
      </c>
      <c r="DN41" s="304"/>
      <c r="DS41" s="217" t="s">
        <v>1535</v>
      </c>
      <c r="DT41" s="304"/>
      <c r="EL41" t="s">
        <v>1649</v>
      </c>
      <c r="EM41">
        <v>59.7</v>
      </c>
      <c r="ER41" s="1" t="s">
        <v>1676</v>
      </c>
      <c r="ES41" s="320">
        <v>18</v>
      </c>
      <c r="EX41" s="6" t="s">
        <v>1749</v>
      </c>
      <c r="EY41" s="6">
        <v>761</v>
      </c>
      <c r="EZ41" t="s">
        <v>1149</v>
      </c>
      <c r="FD41" s="6"/>
      <c r="FE41" s="6"/>
      <c r="FF41" s="6"/>
      <c r="FG41" s="6"/>
      <c r="FJ41" s="6"/>
      <c r="FK41" s="6"/>
      <c r="FL41" s="253"/>
      <c r="FM41" s="278"/>
      <c r="FP41" s="340" t="s">
        <v>1858</v>
      </c>
      <c r="FQ41" s="341"/>
      <c r="FR41" t="s">
        <v>1034</v>
      </c>
      <c r="FV41" s="360" t="s">
        <v>1935</v>
      </c>
      <c r="FW41" s="6">
        <v>80</v>
      </c>
      <c r="GB41" s="6" t="s">
        <v>1952</v>
      </c>
      <c r="GC41">
        <v>80</v>
      </c>
      <c r="GH41" s="360" t="s">
        <v>1989</v>
      </c>
      <c r="GI41" s="6">
        <v>1100</v>
      </c>
      <c r="GJ41" t="s">
        <v>93</v>
      </c>
      <c r="GN41" s="337" t="s">
        <v>2031</v>
      </c>
      <c r="GO41">
        <f>76+25.2</f>
        <v>101.2</v>
      </c>
      <c r="GP41" s="253" t="s">
        <v>2286</v>
      </c>
      <c r="GQ41" s="278"/>
      <c r="GT41" s="393">
        <v>6</v>
      </c>
      <c r="GU41" s="340" t="s">
        <v>2108</v>
      </c>
      <c r="GV41" s="288"/>
      <c r="GZ41" s="386" t="s">
        <v>1747</v>
      </c>
      <c r="HA41" s="63"/>
      <c r="HB41" t="s">
        <v>1149</v>
      </c>
      <c r="HF41" s="210" t="s">
        <v>2163</v>
      </c>
      <c r="HG41" s="210">
        <v>440</v>
      </c>
      <c r="HR41" s="398" t="s">
        <v>2268</v>
      </c>
      <c r="HS41" s="344">
        <v>65.7</v>
      </c>
      <c r="HX41" s="409">
        <v>45</v>
      </c>
      <c r="HY41" s="340" t="s">
        <v>2298</v>
      </c>
      <c r="IB41" s="340" t="s">
        <v>2329</v>
      </c>
      <c r="IC41" s="353">
        <v>205</v>
      </c>
      <c r="ID41" s="409">
        <v>15</v>
      </c>
      <c r="IE41" s="340" t="s">
        <v>2315</v>
      </c>
      <c r="IH41" s="351" t="s">
        <v>1959</v>
      </c>
      <c r="II41" s="286">
        <f>SUM(IK7:IK9)</f>
        <v>1946.12</v>
      </c>
      <c r="IJ41" s="409">
        <v>40</v>
      </c>
      <c r="IK41" s="340" t="s">
        <v>2382</v>
      </c>
      <c r="IP41" s="409">
        <v>30</v>
      </c>
      <c r="IQ41" s="543" t="s">
        <v>2474</v>
      </c>
      <c r="IV41" s="400"/>
      <c r="IW41" s="533"/>
      <c r="IZ41" s="337" t="s">
        <v>2778</v>
      </c>
      <c r="JA41" s="621">
        <f>SUM(JC28:JC34)</f>
        <v>337.85099999999994</v>
      </c>
      <c r="JB41" s="409">
        <v>30</v>
      </c>
      <c r="JC41" s="543" t="s">
        <v>2652</v>
      </c>
      <c r="JG41" s="494"/>
      <c r="JH41" s="504" t="s">
        <v>2732</v>
      </c>
      <c r="JI41" s="533">
        <v>751</v>
      </c>
      <c r="JM41" s="494"/>
      <c r="JN41" s="409">
        <v>10</v>
      </c>
      <c r="JO41" s="63" t="s">
        <v>2810</v>
      </c>
      <c r="JP41" s="739"/>
      <c r="JQ41" s="739"/>
      <c r="JR41" s="739"/>
    </row>
    <row r="42" spans="1:278" x14ac:dyDescent="0.2">
      <c r="K42" s="198" t="s">
        <v>1028</v>
      </c>
      <c r="L42" s="142">
        <v>100</v>
      </c>
      <c r="AO42" s="251" t="s">
        <v>1116</v>
      </c>
      <c r="AP42" s="142">
        <v>54</v>
      </c>
      <c r="AU42" s="142" t="s">
        <v>1156</v>
      </c>
      <c r="AV42" s="142">
        <v>180</v>
      </c>
      <c r="BE42" s="142" t="s">
        <v>1176</v>
      </c>
      <c r="BF42" s="142">
        <v>300</v>
      </c>
      <c r="BW42" s="218" t="s">
        <v>1176</v>
      </c>
      <c r="BX42" s="218">
        <v>150</v>
      </c>
      <c r="CC42" s="218" t="s">
        <v>1167</v>
      </c>
      <c r="CD42" s="218">
        <v>500</v>
      </c>
      <c r="CI42" s="218" t="s">
        <v>1315</v>
      </c>
      <c r="CJ42" s="218">
        <v>0</v>
      </c>
      <c r="CO42" s="218" t="s">
        <v>1167</v>
      </c>
      <c r="CP42" s="218">
        <v>500</v>
      </c>
      <c r="CU42" s="218" t="s">
        <v>1338</v>
      </c>
      <c r="CV42" s="218">
        <v>30</v>
      </c>
      <c r="DA42" s="218" t="s">
        <v>1382</v>
      </c>
      <c r="DB42" s="218">
        <v>127.5</v>
      </c>
      <c r="DG42" s="295" t="s">
        <v>1452</v>
      </c>
      <c r="DH42" s="279">
        <v>65.319999999999993</v>
      </c>
      <c r="DI42" s="290" t="s">
        <v>1443</v>
      </c>
      <c r="DJ42" s="291" t="s">
        <v>1481</v>
      </c>
      <c r="DM42" s="217" t="s">
        <v>1513</v>
      </c>
      <c r="DN42" s="304"/>
      <c r="DP42"/>
      <c r="DS42" s="217" t="s">
        <v>1556</v>
      </c>
      <c r="DT42" s="304"/>
      <c r="DY42" t="s">
        <v>1571</v>
      </c>
      <c r="DZ42">
        <v>734.46</v>
      </c>
      <c r="EL42" s="6" t="s">
        <v>1656</v>
      </c>
      <c r="EM42" s="1">
        <v>29.9</v>
      </c>
      <c r="ER42" s="6" t="s">
        <v>1693</v>
      </c>
      <c r="ES42" s="142">
        <f>11.88+1.49+3.62</f>
        <v>16.990000000000002</v>
      </c>
      <c r="EX42" s="6" t="s">
        <v>1746</v>
      </c>
      <c r="EY42" s="6">
        <f>560-555.22</f>
        <v>4.7799999999999727</v>
      </c>
      <c r="EZ42" t="s">
        <v>1034</v>
      </c>
      <c r="FD42" t="s">
        <v>1571</v>
      </c>
      <c r="FE42" s="1">
        <v>790</v>
      </c>
      <c r="FF42" t="s">
        <v>506</v>
      </c>
      <c r="FJ42" t="s">
        <v>1571</v>
      </c>
      <c r="FK42" s="1">
        <v>990</v>
      </c>
      <c r="FL42" s="253"/>
      <c r="FM42" s="278"/>
      <c r="FP42" s="340" t="s">
        <v>1828</v>
      </c>
      <c r="FQ42" s="341"/>
      <c r="FV42" s="360" t="s">
        <v>1941</v>
      </c>
      <c r="FW42" s="6">
        <v>4.5999999999999996</v>
      </c>
      <c r="GB42" s="360" t="s">
        <v>1956</v>
      </c>
      <c r="GC42" s="6">
        <v>11</v>
      </c>
      <c r="GH42" s="360" t="s">
        <v>1987</v>
      </c>
      <c r="GI42" s="6">
        <v>43</v>
      </c>
      <c r="GJ42" t="s">
        <v>1149</v>
      </c>
      <c r="GN42" s="386" t="s">
        <v>1747</v>
      </c>
      <c r="GO42" s="63"/>
      <c r="GP42" t="s">
        <v>1674</v>
      </c>
      <c r="GT42" s="393">
        <v>30</v>
      </c>
      <c r="GU42" s="340" t="s">
        <v>2090</v>
      </c>
      <c r="GZ42" s="353">
        <v>50</v>
      </c>
      <c r="HA42" s="386"/>
      <c r="HB42" t="s">
        <v>1034</v>
      </c>
      <c r="HE42" s="207"/>
      <c r="HF42" s="404">
        <v>29.54</v>
      </c>
      <c r="HR42" s="398" t="s">
        <v>2215</v>
      </c>
      <c r="HS42" s="344">
        <v>2.54</v>
      </c>
      <c r="HX42" s="398" t="s">
        <v>2271</v>
      </c>
      <c r="HY42" s="344">
        <v>98.89</v>
      </c>
      <c r="HZ42" t="s">
        <v>506</v>
      </c>
      <c r="ID42" s="409">
        <v>10</v>
      </c>
      <c r="IE42" s="340" t="s">
        <v>2349</v>
      </c>
      <c r="IH42" s="245" t="s">
        <v>1960</v>
      </c>
      <c r="II42" s="286">
        <f>SUM(IK14:IK15)</f>
        <v>1933.7466666666667</v>
      </c>
      <c r="IJ42" s="409">
        <v>10</v>
      </c>
      <c r="IK42" s="340" t="s">
        <v>2405</v>
      </c>
      <c r="IP42" s="409">
        <v>20</v>
      </c>
      <c r="IQ42" s="543" t="s">
        <v>2536</v>
      </c>
      <c r="IV42" s="400"/>
      <c r="IW42" s="533"/>
      <c r="IZ42" s="645" t="s">
        <v>2666</v>
      </c>
      <c r="JA42" s="353">
        <v>200</v>
      </c>
      <c r="JB42" s="409">
        <v>13</v>
      </c>
      <c r="JC42" s="543" t="s">
        <v>2688</v>
      </c>
      <c r="JG42" s="494"/>
      <c r="JH42" s="504" t="s">
        <v>1618</v>
      </c>
      <c r="JI42" s="533">
        <v>12.34</v>
      </c>
      <c r="JM42" s="495"/>
      <c r="JN42" s="409">
        <f>86*3+96</f>
        <v>354</v>
      </c>
      <c r="JO42" s="63" t="s">
        <v>2811</v>
      </c>
      <c r="JP42" s="739"/>
      <c r="JQ42" s="739"/>
      <c r="JR42" s="739"/>
    </row>
    <row r="43" spans="1:278" x14ac:dyDescent="0.2">
      <c r="W43" s="197" t="s">
        <v>1012</v>
      </c>
      <c r="X43" s="142">
        <v>600</v>
      </c>
      <c r="AO43" s="251" t="s">
        <v>1110</v>
      </c>
      <c r="AP43" s="142">
        <v>95</v>
      </c>
      <c r="AU43" s="142" t="s">
        <v>1172</v>
      </c>
      <c r="AV43" s="142">
        <v>-180</v>
      </c>
      <c r="CC43" s="218" t="s">
        <v>1176</v>
      </c>
      <c r="CD43" s="218">
        <v>150</v>
      </c>
      <c r="CI43" s="218" t="s">
        <v>1305</v>
      </c>
      <c r="CJ43" s="218">
        <v>300</v>
      </c>
      <c r="CO43" s="218" t="s">
        <v>1176</v>
      </c>
      <c r="CP43" s="218">
        <v>400</v>
      </c>
      <c r="CU43" s="218" t="s">
        <v>1167</v>
      </c>
      <c r="CV43" s="218">
        <v>500</v>
      </c>
      <c r="DA43" s="218" t="s">
        <v>1380</v>
      </c>
      <c r="DB43" s="218">
        <v>114.55</v>
      </c>
      <c r="DG43" s="295" t="s">
        <v>1431</v>
      </c>
      <c r="DH43" s="279">
        <v>95</v>
      </c>
      <c r="DI43" s="290" t="s">
        <v>1480</v>
      </c>
      <c r="DJ43" s="291" t="s">
        <v>1481</v>
      </c>
      <c r="DL43" s="6"/>
      <c r="DM43" s="217" t="s">
        <v>1514</v>
      </c>
      <c r="DN43" s="304"/>
      <c r="DO43" s="1"/>
      <c r="DP43" s="109">
        <f>-DP11</f>
        <v>2524</v>
      </c>
      <c r="DR43" s="6"/>
      <c r="DS43" s="217" t="s">
        <v>1593</v>
      </c>
      <c r="DT43" s="304"/>
      <c r="DU43" s="142"/>
      <c r="DY43" t="s">
        <v>1613</v>
      </c>
      <c r="EA43" s="142" t="s">
        <v>1624</v>
      </c>
      <c r="EL43" s="6" t="s">
        <v>1659</v>
      </c>
      <c r="EM43" s="6">
        <v>35.799999999999997</v>
      </c>
      <c r="ER43" s="6" t="s">
        <v>1695</v>
      </c>
      <c r="ES43" s="142">
        <v>69.7</v>
      </c>
      <c r="EX43" s="6" t="s">
        <v>1738</v>
      </c>
      <c r="EY43" s="6">
        <v>8.64</v>
      </c>
      <c r="FD43" t="s">
        <v>1788</v>
      </c>
      <c r="FE43" s="6"/>
      <c r="FF43" t="s">
        <v>1674</v>
      </c>
      <c r="FJ43" t="s">
        <v>1815</v>
      </c>
      <c r="FK43" s="6"/>
      <c r="FL43" s="6"/>
      <c r="FP43" s="340" t="s">
        <v>1830</v>
      </c>
      <c r="FQ43" s="341"/>
      <c r="FX43" s="288"/>
      <c r="GB43" s="360" t="s">
        <v>1961</v>
      </c>
      <c r="GC43" s="6">
        <v>20</v>
      </c>
      <c r="GD43" s="288"/>
      <c r="GH43" s="360" t="s">
        <v>2001</v>
      </c>
      <c r="GI43" s="6">
        <v>64.680000000000007</v>
      </c>
      <c r="GJ43" t="s">
        <v>1034</v>
      </c>
      <c r="GN43" s="353">
        <v>100</v>
      </c>
      <c r="GO43" s="386"/>
      <c r="GP43" t="s">
        <v>93</v>
      </c>
      <c r="GT43" s="360" t="s">
        <v>2067</v>
      </c>
      <c r="GU43" s="6">
        <v>70</v>
      </c>
      <c r="GZ43" s="341" t="s">
        <v>2102</v>
      </c>
      <c r="HA43" s="354">
        <f>GW16+GZ42-HC17</f>
        <v>134</v>
      </c>
      <c r="HF43" t="s">
        <v>2086</v>
      </c>
      <c r="HG43" s="6">
        <v>90</v>
      </c>
      <c r="HX43" s="604" t="s">
        <v>2317</v>
      </c>
      <c r="HY43" s="604"/>
      <c r="HZ43" t="s">
        <v>93</v>
      </c>
      <c r="ID43" s="409">
        <f>20+9</f>
        <v>29</v>
      </c>
      <c r="IE43" s="340" t="s">
        <v>2365</v>
      </c>
      <c r="IH43" s="362" t="s">
        <v>1392</v>
      </c>
      <c r="II43">
        <f>SUM(IK10:IK11)</f>
        <v>3467.75</v>
      </c>
      <c r="IJ43" s="409">
        <v>20</v>
      </c>
      <c r="IK43" s="340" t="s">
        <v>2430</v>
      </c>
      <c r="IO43" s="494"/>
      <c r="IP43" s="409">
        <v>12</v>
      </c>
      <c r="IQ43" s="543" t="s">
        <v>2487</v>
      </c>
      <c r="IV43" s="580"/>
      <c r="IW43" s="582"/>
      <c r="JB43" s="613" t="s">
        <v>2653</v>
      </c>
      <c r="JC43" s="532">
        <v>18</v>
      </c>
      <c r="JG43" s="495"/>
      <c r="JH43" s="400" t="s">
        <v>2787</v>
      </c>
      <c r="JI43" s="533">
        <v>65</v>
      </c>
      <c r="JN43" s="400" t="s">
        <v>2797</v>
      </c>
      <c r="JO43" s="533">
        <v>7.5</v>
      </c>
      <c r="JP43" s="739"/>
      <c r="JQ43" s="739"/>
    </row>
    <row r="44" spans="1:278" x14ac:dyDescent="0.2">
      <c r="W44" s="198" t="s">
        <v>1028</v>
      </c>
      <c r="X44" s="142">
        <v>100</v>
      </c>
      <c r="AU44" s="142" t="s">
        <v>1166</v>
      </c>
      <c r="AV44" s="142">
        <f>53+76.3</f>
        <v>129.30000000000001</v>
      </c>
      <c r="CI44" s="218" t="s">
        <v>1167</v>
      </c>
      <c r="CJ44" s="218">
        <v>400</v>
      </c>
      <c r="CO44" s="218" t="s">
        <v>1359</v>
      </c>
      <c r="CU44" s="218" t="s">
        <v>1176</v>
      </c>
      <c r="CV44" s="218">
        <v>200</v>
      </c>
      <c r="DA44" s="218" t="s">
        <v>1167</v>
      </c>
      <c r="DB44" s="218">
        <v>700</v>
      </c>
      <c r="DG44" s="301" t="s">
        <v>1409</v>
      </c>
      <c r="DH44" s="303">
        <v>350</v>
      </c>
      <c r="DJ44" s="84"/>
      <c r="DL44" s="6"/>
      <c r="DM44" s="205" t="s">
        <v>1492</v>
      </c>
      <c r="DN44" s="279">
        <v>22.9</v>
      </c>
      <c r="DO44" s="1"/>
      <c r="DP44" s="109">
        <v>34.799999999999997</v>
      </c>
      <c r="DR44" s="6"/>
      <c r="DS44" s="217" t="s">
        <v>1583</v>
      </c>
      <c r="DT44" s="304"/>
      <c r="DU44" s="288"/>
      <c r="DY44" t="s">
        <v>1427</v>
      </c>
      <c r="DZ44">
        <v>70</v>
      </c>
      <c r="EL44" t="s">
        <v>1652</v>
      </c>
      <c r="EM44">
        <v>19.899999999999999</v>
      </c>
      <c r="EN44" s="142"/>
      <c r="ET44" s="288"/>
      <c r="EX44" s="6" t="s">
        <v>1740</v>
      </c>
      <c r="EY44" s="6">
        <f>7.3+13+10.5+10.8</f>
        <v>41.6</v>
      </c>
      <c r="FD44" t="s">
        <v>1427</v>
      </c>
      <c r="FE44">
        <v>30</v>
      </c>
      <c r="FF44" t="s">
        <v>1541</v>
      </c>
      <c r="FJ44" t="s">
        <v>1427</v>
      </c>
      <c r="FK44">
        <v>80</v>
      </c>
      <c r="FL44" s="6"/>
      <c r="FP44" s="6" t="s">
        <v>1823</v>
      </c>
      <c r="FQ44">
        <v>24</v>
      </c>
      <c r="FV44" t="s">
        <v>1571</v>
      </c>
      <c r="FW44" s="1">
        <v>646</v>
      </c>
      <c r="GB44" s="360" t="s">
        <v>1972</v>
      </c>
      <c r="GC44" s="6">
        <v>20</v>
      </c>
      <c r="GN44" s="341" t="s">
        <v>2047</v>
      </c>
      <c r="GO44" s="354">
        <f>GK17+GN43-GQ17</f>
        <v>104</v>
      </c>
      <c r="GP44" t="s">
        <v>1149</v>
      </c>
      <c r="GT44" s="360" t="s">
        <v>2085</v>
      </c>
      <c r="GU44" s="6">
        <v>29.6</v>
      </c>
      <c r="GZ44" s="392">
        <v>60</v>
      </c>
      <c r="HA44" s="340" t="s">
        <v>1828</v>
      </c>
      <c r="HX44" s="604"/>
      <c r="HY44" s="604"/>
      <c r="ID44" s="253" t="s">
        <v>2376</v>
      </c>
      <c r="IE44" s="344">
        <v>23</v>
      </c>
      <c r="IH44" s="346" t="s">
        <v>2166</v>
      </c>
      <c r="II44">
        <f>SUM(IK12:IK13)</f>
        <v>2138.0500000000002</v>
      </c>
      <c r="IJ44" s="409">
        <v>5</v>
      </c>
      <c r="IK44" s="340" t="s">
        <v>2409</v>
      </c>
      <c r="IO44" s="494"/>
      <c r="IP44" s="409">
        <v>20</v>
      </c>
      <c r="IQ44" s="543" t="s">
        <v>2220</v>
      </c>
      <c r="IV44" s="202"/>
      <c r="IW44" s="357"/>
      <c r="JB44" s="504" t="s">
        <v>2457</v>
      </c>
      <c r="JC44" s="621">
        <v>86.8</v>
      </c>
      <c r="JH44" s="504" t="s">
        <v>2721</v>
      </c>
      <c r="JI44" s="533">
        <v>13.3</v>
      </c>
      <c r="JN44" s="400"/>
      <c r="JO44" s="533"/>
    </row>
    <row r="45" spans="1:278" x14ac:dyDescent="0.2">
      <c r="AO45" s="142" t="s">
        <v>1107</v>
      </c>
      <c r="AP45" s="142">
        <f>129-18</f>
        <v>111</v>
      </c>
      <c r="AU45" s="142" t="s">
        <v>1145</v>
      </c>
      <c r="AV45" s="142">
        <v>25</v>
      </c>
      <c r="CI45" s="218" t="s">
        <v>1176</v>
      </c>
      <c r="CJ45" s="218">
        <v>150</v>
      </c>
      <c r="CU45" s="218" t="s">
        <v>1355</v>
      </c>
      <c r="DG45" s="217" t="s">
        <v>1478</v>
      </c>
      <c r="DH45" s="304"/>
      <c r="DI45" s="60" t="s">
        <v>506</v>
      </c>
      <c r="DL45" s="6"/>
      <c r="DM45" s="205" t="s">
        <v>1510</v>
      </c>
      <c r="DN45" s="279">
        <v>36.299999999999997</v>
      </c>
      <c r="DO45" s="1"/>
      <c r="DP45" s="109">
        <v>1.93</v>
      </c>
      <c r="DR45" s="6"/>
      <c r="DS45" s="217" t="s">
        <v>1584</v>
      </c>
      <c r="DT45" s="304"/>
      <c r="EL45" s="6" t="s">
        <v>1661</v>
      </c>
      <c r="EM45" s="6">
        <v>29</v>
      </c>
      <c r="ER45" t="s">
        <v>1571</v>
      </c>
      <c r="ES45" s="320">
        <v>840</v>
      </c>
      <c r="EX45" s="6" t="s">
        <v>1741</v>
      </c>
      <c r="EY45" s="6">
        <v>15.19</v>
      </c>
      <c r="FF45" t="s">
        <v>93</v>
      </c>
      <c r="FL45" t="s">
        <v>506</v>
      </c>
      <c r="FP45" s="1" t="s">
        <v>1341</v>
      </c>
      <c r="FQ45" s="1">
        <v>50</v>
      </c>
      <c r="FR45" s="288"/>
      <c r="FV45" t="s">
        <v>1943</v>
      </c>
      <c r="FW45" s="6"/>
      <c r="GB45" s="360" t="s">
        <v>1967</v>
      </c>
      <c r="GC45" s="6">
        <v>30.35</v>
      </c>
      <c r="GH45" t="s">
        <v>1571</v>
      </c>
      <c r="GI45" s="1">
        <v>638</v>
      </c>
      <c r="GN45" s="340" t="s">
        <v>2024</v>
      </c>
      <c r="GO45" s="341"/>
      <c r="GP45" t="s">
        <v>1034</v>
      </c>
      <c r="GT45" s="360" t="s">
        <v>2064</v>
      </c>
      <c r="GU45" s="6">
        <v>32.1</v>
      </c>
      <c r="GZ45" s="393">
        <v>20</v>
      </c>
      <c r="HA45" s="340" t="s">
        <v>2148</v>
      </c>
      <c r="HX45" s="214" t="s">
        <v>2311</v>
      </c>
      <c r="HY45">
        <f>40+150</f>
        <v>190</v>
      </c>
      <c r="ID45" s="400" t="s">
        <v>2332</v>
      </c>
      <c r="IE45">
        <v>54.8</v>
      </c>
      <c r="IH45" s="345" t="s">
        <v>2167</v>
      </c>
      <c r="II45" s="411">
        <f>SUM(IK16:IK23)</f>
        <v>1252.2433333333333</v>
      </c>
      <c r="IJ45" s="409">
        <v>7</v>
      </c>
      <c r="IK45" s="340" t="s">
        <v>2426</v>
      </c>
      <c r="IO45" s="495"/>
      <c r="IP45" s="353">
        <v>10</v>
      </c>
      <c r="IQ45" s="543" t="s">
        <v>2497</v>
      </c>
      <c r="IV45" s="202"/>
      <c r="IW45" s="202"/>
      <c r="JA45" s="494"/>
      <c r="JB45" s="504" t="s">
        <v>2692</v>
      </c>
      <c r="JC45" s="533">
        <v>36.9</v>
      </c>
      <c r="JH45" s="202" t="s">
        <v>2784</v>
      </c>
      <c r="JI45" s="357">
        <v>3</v>
      </c>
      <c r="JN45" s="504" t="s">
        <v>2796</v>
      </c>
      <c r="JO45" s="533">
        <v>8.5500000000000007</v>
      </c>
    </row>
    <row r="46" spans="1:278" x14ac:dyDescent="0.2">
      <c r="AO46" s="142" t="s">
        <v>1109</v>
      </c>
      <c r="AP46" s="142">
        <v>25</v>
      </c>
      <c r="BX46" s="261"/>
      <c r="CD46" s="261"/>
      <c r="CJ46" s="261"/>
      <c r="DG46" s="217" t="s">
        <v>1432</v>
      </c>
      <c r="DH46" s="304"/>
      <c r="DI46" s="60" t="s">
        <v>992</v>
      </c>
      <c r="DJ46" s="282"/>
      <c r="DL46" s="6"/>
      <c r="DM46" s="205" t="s">
        <v>1509</v>
      </c>
      <c r="DN46" s="279">
        <v>50</v>
      </c>
      <c r="DO46" s="1"/>
      <c r="DP46" s="109">
        <v>64</v>
      </c>
      <c r="DR46" s="6"/>
      <c r="DS46" s="217"/>
      <c r="DT46" s="304"/>
      <c r="ER46" t="s">
        <v>1714</v>
      </c>
      <c r="ES46" s="205"/>
      <c r="EX46" s="6"/>
      <c r="EY46" s="6"/>
      <c r="EZ46" s="288"/>
      <c r="FC46" s="52"/>
      <c r="FF46" t="s">
        <v>1149</v>
      </c>
      <c r="FL46" t="s">
        <v>1674</v>
      </c>
      <c r="FP46" s="360" t="s">
        <v>1827</v>
      </c>
      <c r="FQ46" s="1">
        <v>4.41</v>
      </c>
      <c r="FV46" t="s">
        <v>1895</v>
      </c>
      <c r="FW46">
        <v>52.15</v>
      </c>
      <c r="GH46" t="s">
        <v>2011</v>
      </c>
      <c r="GI46" s="6"/>
      <c r="GJ46" t="s">
        <v>478</v>
      </c>
      <c r="GN46" s="340" t="s">
        <v>2045</v>
      </c>
      <c r="GO46" s="341"/>
      <c r="GT46" s="360" t="s">
        <v>1492</v>
      </c>
      <c r="GU46">
        <v>2.66</v>
      </c>
      <c r="GZ46" s="393">
        <v>30</v>
      </c>
      <c r="HA46" s="340" t="s">
        <v>2107</v>
      </c>
      <c r="HB46" s="288"/>
      <c r="HX46" s="606" t="s">
        <v>2279</v>
      </c>
      <c r="HY46" s="344">
        <v>150</v>
      </c>
      <c r="ID46" s="400" t="s">
        <v>1656</v>
      </c>
      <c r="IE46">
        <v>54.6</v>
      </c>
      <c r="IH46" s="337" t="s">
        <v>2165</v>
      </c>
      <c r="II46">
        <f>SUM(IK24:IK36)</f>
        <v>602.14</v>
      </c>
      <c r="IJ46" s="353">
        <f>-IK7</f>
        <v>-15</v>
      </c>
      <c r="IK46" s="340" t="s">
        <v>2410</v>
      </c>
      <c r="IP46" s="353">
        <f>17+11+6</f>
        <v>34</v>
      </c>
      <c r="IQ46" s="543" t="s">
        <v>2529</v>
      </c>
      <c r="IV46" s="398"/>
      <c r="IW46" s="202"/>
      <c r="JA46" s="494"/>
      <c r="JB46" s="504" t="s">
        <v>2721</v>
      </c>
      <c r="JC46" s="533">
        <v>13.3</v>
      </c>
      <c r="JH46" s="202"/>
      <c r="JI46" s="202"/>
      <c r="JN46" s="504" t="s">
        <v>2795</v>
      </c>
      <c r="JO46" s="533">
        <v>10.35</v>
      </c>
    </row>
    <row r="47" spans="1:278" x14ac:dyDescent="0.2">
      <c r="AO47" s="142" t="s">
        <v>1108</v>
      </c>
      <c r="AP47" s="142">
        <v>508</v>
      </c>
      <c r="AU47" s="142" t="s">
        <v>1173</v>
      </c>
      <c r="AV47" s="142">
        <v>200</v>
      </c>
      <c r="DG47" s="217" t="s">
        <v>1473</v>
      </c>
      <c r="DH47" s="304"/>
      <c r="DI47" s="1" t="s">
        <v>93</v>
      </c>
      <c r="DJ47" s="78"/>
      <c r="DM47" s="205" t="s">
        <v>1534</v>
      </c>
      <c r="DN47" s="279">
        <v>34</v>
      </c>
      <c r="DO47" s="1"/>
      <c r="DP47" s="109">
        <v>21.78</v>
      </c>
      <c r="DS47" s="205" t="s">
        <v>1530</v>
      </c>
      <c r="DT47" s="279">
        <v>34.799999999999997</v>
      </c>
      <c r="EL47" t="s">
        <v>1571</v>
      </c>
      <c r="EM47">
        <v>870</v>
      </c>
      <c r="EN47" t="s">
        <v>1624</v>
      </c>
      <c r="ER47" t="s">
        <v>1427</v>
      </c>
      <c r="ES47" s="142">
        <v>60</v>
      </c>
      <c r="EX47" t="s">
        <v>1571</v>
      </c>
      <c r="EY47" s="1">
        <v>940</v>
      </c>
      <c r="FF47" t="s">
        <v>1034</v>
      </c>
      <c r="FL47" t="s">
        <v>1541</v>
      </c>
      <c r="FP47" s="360" t="s">
        <v>1826</v>
      </c>
      <c r="FQ47" s="6">
        <v>70.3</v>
      </c>
      <c r="FV47" t="s">
        <v>1896</v>
      </c>
      <c r="FX47" s="142"/>
      <c r="GB47" t="s">
        <v>1571</v>
      </c>
      <c r="GC47" s="1">
        <v>1057</v>
      </c>
      <c r="GD47" s="142"/>
      <c r="GH47" t="s">
        <v>1427</v>
      </c>
      <c r="GI47">
        <v>72</v>
      </c>
      <c r="GJ47" s="288" t="s">
        <v>1306</v>
      </c>
      <c r="GN47" s="340" t="s">
        <v>2094</v>
      </c>
      <c r="GO47" s="341"/>
      <c r="GT47" s="360" t="s">
        <v>2056</v>
      </c>
      <c r="GU47" s="6">
        <v>60.6</v>
      </c>
      <c r="GV47" s="806" t="s">
        <v>2093</v>
      </c>
      <c r="GZ47" s="360" t="s">
        <v>2111</v>
      </c>
      <c r="HA47" s="6">
        <v>6</v>
      </c>
      <c r="HX47" s="607" t="s">
        <v>2307</v>
      </c>
      <c r="HY47">
        <f>389.7+107.1</f>
        <v>496.79999999999995</v>
      </c>
      <c r="ID47" s="400" t="s">
        <v>2353</v>
      </c>
      <c r="IE47">
        <v>195.81</v>
      </c>
      <c r="IH47" s="337" t="s">
        <v>2778</v>
      </c>
      <c r="II47">
        <f>SUM(IK27:IK36)</f>
        <v>428.43999999999994</v>
      </c>
      <c r="IJ47" s="353">
        <v>20</v>
      </c>
      <c r="IK47" s="340" t="s">
        <v>1828</v>
      </c>
      <c r="IP47" s="353">
        <v>20</v>
      </c>
      <c r="IQ47" s="543" t="s">
        <v>2535</v>
      </c>
      <c r="IV47" s="202"/>
      <c r="IW47" s="342"/>
      <c r="JA47" s="495"/>
      <c r="JB47" s="400"/>
      <c r="JC47" s="533"/>
      <c r="JH47" s="398"/>
      <c r="JI47" s="202"/>
      <c r="JN47" s="504" t="s">
        <v>2802</v>
      </c>
      <c r="JO47" s="533">
        <f>1.53+0.65+1.28+2.9</f>
        <v>6.3599999999999994</v>
      </c>
    </row>
    <row r="48" spans="1:278" x14ac:dyDescent="0.2">
      <c r="AO48" s="142" t="s">
        <v>1115</v>
      </c>
      <c r="AP48" s="142">
        <f>20*3</f>
        <v>60</v>
      </c>
      <c r="AU48" t="s">
        <v>1167</v>
      </c>
      <c r="AV48" s="142">
        <v>300</v>
      </c>
      <c r="AY48"/>
      <c r="DF48" s="6"/>
      <c r="DG48" s="217" t="s">
        <v>1426</v>
      </c>
      <c r="DH48" s="304"/>
      <c r="DI48" t="s">
        <v>1149</v>
      </c>
      <c r="DJ48" s="283"/>
      <c r="DM48" s="205"/>
      <c r="DO48" s="1"/>
      <c r="DP48" s="109">
        <v>27.85</v>
      </c>
      <c r="DS48" s="205" t="s">
        <v>1557</v>
      </c>
      <c r="DT48" s="279">
        <v>39.9</v>
      </c>
      <c r="EL48" t="s">
        <v>1660</v>
      </c>
      <c r="ET48" s="142"/>
      <c r="EX48" t="s">
        <v>1742</v>
      </c>
      <c r="EY48" s="6"/>
      <c r="FL48" t="s">
        <v>93</v>
      </c>
      <c r="FP48" s="360" t="s">
        <v>1859</v>
      </c>
      <c r="FQ48" s="6">
        <v>206</v>
      </c>
      <c r="FV48" t="s">
        <v>1427</v>
      </c>
      <c r="FW48">
        <v>48</v>
      </c>
      <c r="GB48" t="s">
        <v>1971</v>
      </c>
      <c r="GC48" s="6"/>
      <c r="GN48" s="340" t="s">
        <v>2044</v>
      </c>
      <c r="GO48" s="341"/>
      <c r="GP48" t="s">
        <v>478</v>
      </c>
      <c r="GT48" s="360" t="s">
        <v>2063</v>
      </c>
      <c r="GU48" s="6">
        <v>14.9</v>
      </c>
      <c r="GV48" s="806"/>
      <c r="GZ48" t="s">
        <v>2087</v>
      </c>
      <c r="HA48" s="210">
        <v>670.00099999999998</v>
      </c>
      <c r="HX48" s="606" t="s">
        <v>2278</v>
      </c>
      <c r="HY48" s="410">
        <v>14.4</v>
      </c>
      <c r="ID48" s="400" t="s">
        <v>2361</v>
      </c>
      <c r="IE48">
        <v>50</v>
      </c>
      <c r="IH48" s="340" t="s">
        <v>2432</v>
      </c>
      <c r="II48" s="353">
        <v>300</v>
      </c>
      <c r="IJ48" s="353">
        <v>20</v>
      </c>
      <c r="IK48" s="340" t="s">
        <v>2428</v>
      </c>
      <c r="IP48" s="504" t="s">
        <v>2471</v>
      </c>
      <c r="IQ48" s="533">
        <f>757-3.8</f>
        <v>753.2</v>
      </c>
      <c r="IV48" s="400"/>
      <c r="IW48" s="581"/>
      <c r="JB48" s="400"/>
      <c r="JC48" s="533"/>
      <c r="JH48" s="202"/>
      <c r="JI48" s="342"/>
      <c r="JN48" s="202" t="s">
        <v>2807</v>
      </c>
      <c r="JO48" s="357">
        <v>7.67</v>
      </c>
    </row>
    <row r="49" spans="41:277" x14ac:dyDescent="0.2">
      <c r="AO49" s="142" t="s">
        <v>1117</v>
      </c>
      <c r="AP49" s="142">
        <v>810</v>
      </c>
      <c r="AU49" t="s">
        <v>1176</v>
      </c>
      <c r="AV49" s="142">
        <v>100</v>
      </c>
      <c r="AY49"/>
      <c r="DG49" s="217" t="s">
        <v>1440</v>
      </c>
      <c r="DH49" s="304"/>
      <c r="DI49" s="254" t="s">
        <v>1001</v>
      </c>
      <c r="DK49" s="6"/>
      <c r="DM49" s="218" t="s">
        <v>1531</v>
      </c>
      <c r="DN49" s="302">
        <v>700</v>
      </c>
      <c r="DO49" s="1"/>
      <c r="DP49" s="109">
        <v>15.35</v>
      </c>
      <c r="DQ49" s="6"/>
      <c r="DS49" s="218" t="s">
        <v>1529</v>
      </c>
      <c r="DT49" s="307">
        <v>0</v>
      </c>
      <c r="DU49" s="1"/>
      <c r="EL49" t="s">
        <v>1427</v>
      </c>
      <c r="EM49">
        <v>100</v>
      </c>
      <c r="EV49" s="52"/>
      <c r="EX49" t="s">
        <v>1427</v>
      </c>
      <c r="EY49">
        <v>30</v>
      </c>
      <c r="FL49" t="s">
        <v>1149</v>
      </c>
      <c r="FP49" s="360" t="s">
        <v>1834</v>
      </c>
      <c r="FQ49" s="6">
        <v>45.6</v>
      </c>
      <c r="FR49" s="142"/>
      <c r="GB49" t="s">
        <v>1427</v>
      </c>
      <c r="GC49">
        <v>100</v>
      </c>
      <c r="GN49" s="360" t="s">
        <v>2029</v>
      </c>
      <c r="GO49" s="6">
        <f>360+18</f>
        <v>378</v>
      </c>
      <c r="GP49" s="288" t="s">
        <v>1306</v>
      </c>
      <c r="GT49" s="360" t="s">
        <v>2082</v>
      </c>
      <c r="GU49" s="6">
        <v>55.29</v>
      </c>
      <c r="GV49" s="806"/>
      <c r="GZ49" s="210" t="s">
        <v>2118</v>
      </c>
      <c r="HX49" s="607" t="s">
        <v>2309</v>
      </c>
      <c r="HY49">
        <v>17.88</v>
      </c>
      <c r="ID49" s="400" t="s">
        <v>2363</v>
      </c>
      <c r="IE49">
        <v>26.8</v>
      </c>
      <c r="IJ49" s="409">
        <v>10</v>
      </c>
      <c r="IK49" s="63" t="s">
        <v>2403</v>
      </c>
      <c r="IP49" s="504" t="s">
        <v>2457</v>
      </c>
      <c r="IQ49" s="533">
        <v>92.8</v>
      </c>
      <c r="IV49" s="400"/>
      <c r="IW49" s="202"/>
      <c r="JB49" s="400"/>
      <c r="JC49" s="533"/>
      <c r="JH49" s="400"/>
      <c r="JI49" s="581"/>
      <c r="JN49" s="400"/>
      <c r="JO49" s="581"/>
    </row>
    <row r="50" spans="41:277" x14ac:dyDescent="0.2">
      <c r="AO50" s="142" t="s">
        <v>1125</v>
      </c>
      <c r="AP50" s="142">
        <f>15+25</f>
        <v>40</v>
      </c>
      <c r="DG50" s="217"/>
      <c r="DH50" s="304"/>
      <c r="DI50" s="6" t="s">
        <v>243</v>
      </c>
      <c r="DK50" s="6"/>
      <c r="DM50" s="218" t="s">
        <v>1575</v>
      </c>
      <c r="DO50" s="1"/>
      <c r="DP50" s="109">
        <v>12.7</v>
      </c>
      <c r="DQ50" s="6"/>
      <c r="DS50" s="218" t="s">
        <v>1571</v>
      </c>
      <c r="DT50" s="302">
        <v>590</v>
      </c>
      <c r="EZ50" s="142"/>
      <c r="FL50" t="s">
        <v>1034</v>
      </c>
      <c r="FP50" s="253" t="s">
        <v>1929</v>
      </c>
      <c r="FQ50" s="253"/>
      <c r="GN50" s="360" t="s">
        <v>2036</v>
      </c>
      <c r="GO50">
        <v>38.9</v>
      </c>
      <c r="GU50" s="6"/>
      <c r="GV50" s="806"/>
      <c r="GZ50" t="s">
        <v>2086</v>
      </c>
      <c r="HA50" s="6">
        <v>50.000999999999998</v>
      </c>
      <c r="HF50" s="1"/>
      <c r="HX50" s="607" t="s">
        <v>2310</v>
      </c>
      <c r="HY50">
        <v>23.86</v>
      </c>
      <c r="IJ50" s="504" t="s">
        <v>2399</v>
      </c>
      <c r="IK50" s="515">
        <f>161+14</f>
        <v>175</v>
      </c>
      <c r="IP50" s="504" t="s">
        <v>2463</v>
      </c>
      <c r="IQ50" s="533">
        <f>220.8+7.27*2</f>
        <v>235.34</v>
      </c>
      <c r="IV50" s="400"/>
      <c r="IW50" s="202"/>
      <c r="JB50" s="580"/>
      <c r="JC50" s="582"/>
      <c r="JH50" s="400"/>
      <c r="JI50" s="202"/>
      <c r="JN50" s="400"/>
      <c r="JO50" s="202"/>
    </row>
    <row r="51" spans="41:277" x14ac:dyDescent="0.2">
      <c r="AO51" s="142" t="s">
        <v>1144</v>
      </c>
      <c r="AP51" s="142">
        <v>12.9</v>
      </c>
      <c r="DG51" s="205" t="s">
        <v>1424</v>
      </c>
      <c r="DH51" s="279">
        <v>120</v>
      </c>
      <c r="DI51" s="253" t="s">
        <v>1034</v>
      </c>
      <c r="DK51" s="6"/>
      <c r="DM51" s="218" t="s">
        <v>1427</v>
      </c>
      <c r="DN51" s="302">
        <v>50</v>
      </c>
      <c r="DO51" s="1"/>
      <c r="DP51" s="109">
        <v>11.6</v>
      </c>
      <c r="DQ51" s="6"/>
      <c r="DS51" s="218" t="s">
        <v>1589</v>
      </c>
      <c r="FF51" s="288"/>
      <c r="FP51" s="360" t="s">
        <v>1836</v>
      </c>
      <c r="FQ51" s="6">
        <v>29.95</v>
      </c>
      <c r="GJ51" s="142"/>
      <c r="GN51" s="360" t="s">
        <v>2039</v>
      </c>
      <c r="GO51" s="6">
        <v>33</v>
      </c>
      <c r="GT51" t="s">
        <v>2087</v>
      </c>
      <c r="GU51" s="394">
        <v>900</v>
      </c>
      <c r="HB51" s="1"/>
      <c r="HC51" s="1"/>
      <c r="HD51" s="1"/>
      <c r="HE51" s="1"/>
      <c r="HF51" s="1"/>
      <c r="HX51" s="607" t="s">
        <v>2308</v>
      </c>
      <c r="HY51">
        <v>19.89</v>
      </c>
      <c r="ID51" s="491" t="s">
        <v>2317</v>
      </c>
      <c r="IE51" s="491"/>
      <c r="II51" s="494"/>
      <c r="IJ51" s="504" t="s">
        <v>2421</v>
      </c>
      <c r="IK51" s="515">
        <v>87.8</v>
      </c>
      <c r="IP51" s="398" t="s">
        <v>2488</v>
      </c>
      <c r="IQ51" s="533">
        <v>84.9</v>
      </c>
      <c r="IV51" s="400"/>
      <c r="JB51" s="202"/>
      <c r="JC51" s="357"/>
      <c r="JH51" s="400"/>
      <c r="JI51" s="202"/>
      <c r="JN51" s="400"/>
      <c r="JO51" s="202"/>
    </row>
    <row r="52" spans="41:277" x14ac:dyDescent="0.2">
      <c r="DA52" s="205"/>
      <c r="DB52" s="205"/>
      <c r="DC52" s="1"/>
      <c r="DD52" s="84"/>
      <c r="DG52" s="205" t="s">
        <v>1441</v>
      </c>
      <c r="DH52" s="279">
        <v>143.96</v>
      </c>
      <c r="DK52" s="6"/>
      <c r="DO52" s="1"/>
      <c r="DP52" s="109">
        <v>2</v>
      </c>
      <c r="DQ52" s="6"/>
      <c r="DS52" s="218" t="s">
        <v>1427</v>
      </c>
      <c r="DT52" s="302">
        <v>80</v>
      </c>
      <c r="FP52" s="360" t="s">
        <v>1850</v>
      </c>
      <c r="FQ52" s="6">
        <v>120</v>
      </c>
      <c r="GO52" s="6"/>
      <c r="GT52" s="394" t="s">
        <v>2084</v>
      </c>
      <c r="HB52" s="1"/>
      <c r="HC52" s="1"/>
      <c r="HD52" s="406"/>
      <c r="HE52" s="1"/>
      <c r="HF52" s="1"/>
      <c r="HX52" s="607" t="s">
        <v>2296</v>
      </c>
      <c r="HY52">
        <f>30.9+469.82+100.14+34.91</f>
        <v>635.77</v>
      </c>
      <c r="ID52" s="214" t="s">
        <v>2316</v>
      </c>
      <c r="IE52" s="142">
        <f>30+139.5</f>
        <v>169.5</v>
      </c>
      <c r="II52" s="494"/>
      <c r="IJ52" s="504" t="s">
        <v>2431</v>
      </c>
      <c r="IK52" s="515">
        <f>40.6+11.5</f>
        <v>52.1</v>
      </c>
      <c r="IP52" s="400" t="s">
        <v>2489</v>
      </c>
      <c r="IQ52" s="533">
        <v>105.8</v>
      </c>
      <c r="IV52" s="400"/>
      <c r="JB52" s="202"/>
      <c r="JC52" s="202"/>
      <c r="JH52" s="400"/>
      <c r="JN52" s="400"/>
    </row>
    <row r="53" spans="41:277" x14ac:dyDescent="0.2">
      <c r="DA53" s="205"/>
      <c r="DB53" s="205"/>
      <c r="DC53" s="1"/>
      <c r="DD53" s="84"/>
      <c r="DG53" s="218" t="s">
        <v>1421</v>
      </c>
      <c r="DH53" s="302">
        <v>51</v>
      </c>
      <c r="DI53" s="142"/>
      <c r="DK53" s="6"/>
      <c r="DO53" s="1"/>
      <c r="DP53" s="109">
        <v>28.8</v>
      </c>
      <c r="DQ53" s="6"/>
      <c r="FP53" s="360" t="s">
        <v>1860</v>
      </c>
      <c r="FQ53" s="6">
        <v>108.12</v>
      </c>
      <c r="GN53" t="s">
        <v>1571</v>
      </c>
      <c r="GO53">
        <v>800</v>
      </c>
      <c r="GT53" t="s">
        <v>2086</v>
      </c>
      <c r="GU53" s="6">
        <v>44</v>
      </c>
      <c r="HB53" s="1"/>
      <c r="HC53" s="1"/>
      <c r="HD53" s="406"/>
      <c r="HE53" s="1"/>
      <c r="HF53" s="1"/>
      <c r="HX53" s="142" t="s">
        <v>2267</v>
      </c>
      <c r="HY53" s="142">
        <v>7329.5</v>
      </c>
      <c r="ID53" s="214" t="s">
        <v>2330</v>
      </c>
      <c r="IE53">
        <v>15.32</v>
      </c>
      <c r="II53" s="495"/>
      <c r="IJ53" s="504" t="s">
        <v>2448</v>
      </c>
      <c r="IK53" s="515">
        <v>10.49</v>
      </c>
      <c r="IP53" s="400" t="s">
        <v>2492</v>
      </c>
      <c r="IQ53" s="533"/>
      <c r="IV53" s="400"/>
      <c r="JB53" s="398"/>
      <c r="JC53" s="202"/>
      <c r="JH53" s="400"/>
      <c r="JN53" s="400"/>
    </row>
    <row r="54" spans="41:277" x14ac:dyDescent="0.2">
      <c r="AO54" t="s">
        <v>1130</v>
      </c>
      <c r="AP54" s="142">
        <v>600</v>
      </c>
      <c r="DA54" s="205"/>
      <c r="DB54" s="205"/>
      <c r="DC54" s="1"/>
      <c r="DD54" s="84"/>
      <c r="DE54" s="6"/>
      <c r="DG54" s="205" t="s">
        <v>1419</v>
      </c>
      <c r="DH54" s="302">
        <f>500+356</f>
        <v>856</v>
      </c>
      <c r="DI54" s="288" t="s">
        <v>1306</v>
      </c>
      <c r="DK54" s="6"/>
      <c r="DO54" s="1"/>
      <c r="DP54" s="109">
        <v>25.5</v>
      </c>
      <c r="DQ54" s="6"/>
      <c r="FL54" s="288"/>
      <c r="GN54" t="s">
        <v>2046</v>
      </c>
      <c r="GO54" s="1"/>
      <c r="HB54" s="1"/>
      <c r="HC54" s="1"/>
      <c r="HD54" s="406"/>
      <c r="HE54" s="1"/>
      <c r="HF54" s="1"/>
      <c r="HX54" s="400"/>
      <c r="ID54" s="606" t="s">
        <v>2331</v>
      </c>
      <c r="IE54" s="344">
        <v>67.61</v>
      </c>
      <c r="IJ54" s="504" t="s">
        <v>2296</v>
      </c>
      <c r="IK54" s="515">
        <v>135.09</v>
      </c>
      <c r="IP54" s="400" t="s">
        <v>2483</v>
      </c>
      <c r="IQ54" s="533">
        <v>47.05</v>
      </c>
      <c r="JB54" s="202"/>
      <c r="JC54" s="342"/>
      <c r="JH54" s="400"/>
      <c r="JN54" s="400"/>
    </row>
    <row r="55" spans="41:277" x14ac:dyDescent="0.2">
      <c r="AO55" t="s">
        <v>1177</v>
      </c>
      <c r="AP55" s="142">
        <v>300</v>
      </c>
      <c r="DA55" s="205"/>
      <c r="DB55" s="205"/>
      <c r="DC55" s="305"/>
      <c r="DD55" s="306"/>
      <c r="DE55" s="6"/>
      <c r="DG55" s="205" t="s">
        <v>1425</v>
      </c>
      <c r="DH55" s="302">
        <v>30</v>
      </c>
      <c r="DK55" s="6"/>
      <c r="DO55" s="1" t="s">
        <v>1572</v>
      </c>
      <c r="DP55" s="109">
        <v>-1122.52</v>
      </c>
      <c r="DQ55" s="6"/>
      <c r="FF55" s="142"/>
      <c r="FP55" t="s">
        <v>1571</v>
      </c>
      <c r="FQ55" s="1">
        <v>753.05</v>
      </c>
      <c r="GN55" t="s">
        <v>1427</v>
      </c>
      <c r="GO55" s="6">
        <v>25</v>
      </c>
      <c r="HB55" s="1"/>
      <c r="HC55" s="1"/>
      <c r="HD55" s="406"/>
      <c r="HE55" s="1"/>
      <c r="HF55" s="1"/>
      <c r="HX55" s="400"/>
      <c r="ID55" s="214" t="s">
        <v>2339</v>
      </c>
      <c r="IE55" s="493">
        <v>-25.98</v>
      </c>
      <c r="IJ55" s="491" t="s">
        <v>2429</v>
      </c>
      <c r="IK55" s="491"/>
      <c r="IP55" s="400" t="s">
        <v>2537</v>
      </c>
      <c r="IQ55" s="582">
        <v>22.2</v>
      </c>
      <c r="JB55" s="400"/>
      <c r="JC55" s="581"/>
    </row>
    <row r="56" spans="41:277" x14ac:dyDescent="0.2">
      <c r="DA56" s="205"/>
      <c r="DB56" s="205"/>
      <c r="DC56" s="1"/>
      <c r="DD56" s="84"/>
      <c r="DE56" s="6"/>
      <c r="DG56" s="218" t="s">
        <v>1416</v>
      </c>
      <c r="DH56" s="302">
        <v>30</v>
      </c>
      <c r="DK56" s="6"/>
      <c r="DO56" s="1" t="s">
        <v>1573</v>
      </c>
      <c r="DP56" s="109">
        <f>SUM(DP43:DP55)</f>
        <v>1647.79</v>
      </c>
      <c r="DQ56" s="6"/>
      <c r="FP56" t="s">
        <v>1861</v>
      </c>
      <c r="FQ56" s="6"/>
      <c r="GV56" s="391"/>
      <c r="HB56" s="1"/>
      <c r="HC56" s="1"/>
      <c r="HD56" s="406"/>
      <c r="HE56" s="1"/>
      <c r="HF56" s="1"/>
      <c r="HX56" s="400"/>
      <c r="ID56" s="607" t="s">
        <v>2359</v>
      </c>
      <c r="IE56">
        <v>8.8000000000000007</v>
      </c>
      <c r="IJ56" s="400" t="s">
        <v>2377</v>
      </c>
      <c r="IK56">
        <v>150</v>
      </c>
      <c r="IP56" s="580" t="s">
        <v>2540</v>
      </c>
      <c r="IQ56" s="357">
        <v>22.6</v>
      </c>
      <c r="JB56" s="400"/>
      <c r="JC56" s="202"/>
    </row>
    <row r="57" spans="41:277" x14ac:dyDescent="0.2">
      <c r="DA57" s="205"/>
      <c r="DB57" s="205"/>
      <c r="DC57" s="1"/>
      <c r="DD57" s="84"/>
      <c r="DE57" s="6"/>
      <c r="DG57" s="218" t="s">
        <v>1446</v>
      </c>
      <c r="DH57" s="302">
        <v>58.2</v>
      </c>
      <c r="DK57" s="6"/>
      <c r="DQ57" s="6"/>
      <c r="FP57" t="s">
        <v>1427</v>
      </c>
      <c r="FQ57">
        <v>20</v>
      </c>
      <c r="HB57" s="1"/>
      <c r="HC57" s="1"/>
      <c r="HD57" s="406"/>
      <c r="HE57" s="1"/>
      <c r="HF57" s="1"/>
      <c r="ID57" s="583" t="s">
        <v>2373</v>
      </c>
      <c r="IE57">
        <f>2000+1311.79</f>
        <v>3311.79</v>
      </c>
      <c r="IJ57" s="400" t="s">
        <v>2359</v>
      </c>
      <c r="IK57">
        <v>5.4</v>
      </c>
      <c r="IP57" s="202"/>
      <c r="IQ57" s="202"/>
      <c r="JB57" s="400"/>
      <c r="JC57" s="202"/>
    </row>
    <row r="58" spans="41:277" x14ac:dyDescent="0.2">
      <c r="DA58" s="205"/>
      <c r="DB58" s="205"/>
      <c r="DC58" s="1"/>
      <c r="DD58" s="306"/>
      <c r="DE58" s="6"/>
      <c r="DG58" s="218" t="s">
        <v>1413</v>
      </c>
      <c r="DH58" s="302">
        <f>21.5+57.6</f>
        <v>79.099999999999994</v>
      </c>
      <c r="FL58" s="142"/>
      <c r="HB58" s="1"/>
      <c r="HC58" s="1"/>
      <c r="HD58" s="406"/>
      <c r="HE58" s="1"/>
      <c r="HF58" s="1"/>
      <c r="ID58" s="400"/>
      <c r="IJ58" s="400"/>
      <c r="IP58" s="202"/>
      <c r="IQ58" s="202"/>
      <c r="JB58" s="400"/>
    </row>
    <row r="59" spans="41:277" x14ac:dyDescent="0.2">
      <c r="DA59" s="205"/>
      <c r="DB59" s="205"/>
      <c r="DC59" s="1"/>
      <c r="DD59" s="84"/>
      <c r="DE59" s="6"/>
      <c r="DG59" s="218" t="s">
        <v>1433</v>
      </c>
      <c r="DH59" s="302">
        <v>193.38</v>
      </c>
      <c r="HB59" s="1"/>
      <c r="HC59" s="1"/>
      <c r="HD59" s="406"/>
      <c r="HE59" s="1"/>
      <c r="HF59" s="1"/>
      <c r="ID59" s="400"/>
      <c r="IJ59" s="400"/>
      <c r="IP59" s="398"/>
      <c r="IQ59" s="342"/>
      <c r="JB59" s="400"/>
    </row>
    <row r="60" spans="41:277" x14ac:dyDescent="0.2">
      <c r="DA60" s="205"/>
      <c r="DB60" s="205"/>
      <c r="DC60" s="1"/>
      <c r="DD60" s="84"/>
      <c r="DE60" s="6"/>
      <c r="DG60" s="218" t="s">
        <v>1434</v>
      </c>
      <c r="DH60" s="302">
        <v>159</v>
      </c>
      <c r="HB60" s="1"/>
      <c r="HC60" s="1"/>
      <c r="HD60" s="1"/>
      <c r="HE60" s="1"/>
      <c r="HF60" s="1"/>
      <c r="ID60" s="400"/>
      <c r="IJ60" s="491"/>
      <c r="IK60" s="491"/>
      <c r="IP60" s="202"/>
      <c r="IQ60" s="581"/>
      <c r="IY60" s="390"/>
      <c r="JB60" s="400"/>
      <c r="JE60" s="390"/>
    </row>
    <row r="61" spans="41:277" x14ac:dyDescent="0.2">
      <c r="DE61" s="6"/>
      <c r="DG61" s="218" t="s">
        <v>1479</v>
      </c>
      <c r="DH61" s="302">
        <v>88</v>
      </c>
      <c r="DI61" s="1"/>
      <c r="HB61" s="1"/>
      <c r="HC61" s="1"/>
      <c r="HD61" s="1"/>
      <c r="HE61" s="1"/>
      <c r="ID61" s="400"/>
      <c r="IJ61" s="142"/>
      <c r="IK61" s="142"/>
      <c r="IP61" s="400"/>
      <c r="IQ61" s="202"/>
      <c r="JK61" s="390"/>
    </row>
    <row r="62" spans="41:277" x14ac:dyDescent="0.2">
      <c r="DE62" s="6"/>
      <c r="DG62" s="218" t="s">
        <v>1472</v>
      </c>
      <c r="DH62" s="302">
        <v>51.9</v>
      </c>
      <c r="ID62" s="400"/>
      <c r="IP62" s="400"/>
      <c r="IQ62" s="202"/>
    </row>
    <row r="63" spans="41:277" x14ac:dyDescent="0.2">
      <c r="DG63" s="218" t="s">
        <v>1167</v>
      </c>
      <c r="DH63" s="302">
        <v>1500</v>
      </c>
      <c r="IP63" s="400"/>
    </row>
    <row r="64" spans="41:277" x14ac:dyDescent="0.2">
      <c r="IJ64" s="398"/>
      <c r="IK64" s="344"/>
      <c r="IP64" s="400"/>
      <c r="JQ64" s="390"/>
    </row>
    <row r="65" spans="205:253" x14ac:dyDescent="0.2">
      <c r="IK65" s="493"/>
      <c r="IM65" s="390"/>
      <c r="IP65" s="400"/>
      <c r="IS65" s="390"/>
    </row>
    <row r="66" spans="205:253" x14ac:dyDescent="0.2">
      <c r="IJ66" s="400"/>
      <c r="IP66" s="400"/>
    </row>
    <row r="67" spans="205:253" x14ac:dyDescent="0.2">
      <c r="HO67" s="390"/>
      <c r="IG67" s="390"/>
      <c r="IJ67" s="400"/>
    </row>
    <row r="68" spans="205:253" x14ac:dyDescent="0.2"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HI72" s="390"/>
    </row>
    <row r="74" spans="205:253" x14ac:dyDescent="0.2">
      <c r="GW74" s="390"/>
    </row>
    <row r="75" spans="205:253" x14ac:dyDescent="0.2">
      <c r="HU75" s="390"/>
    </row>
    <row r="76" spans="205:253" x14ac:dyDescent="0.2">
      <c r="HC76" s="390"/>
    </row>
    <row r="77" spans="205:253" x14ac:dyDescent="0.2">
      <c r="IA77" s="390"/>
    </row>
  </sheetData>
  <mergeCells count="249"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9"/>
  <sheetViews>
    <sheetView topLeftCell="C1" zoomScaleNormal="100" workbookViewId="0">
      <selection activeCell="K18" sqref="K18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1406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7" customFormat="1" ht="7.5" customHeight="1" x14ac:dyDescent="0.2">
      <c r="B2" s="825" t="s">
        <v>1875</v>
      </c>
      <c r="C2" s="825"/>
      <c r="D2" s="825"/>
      <c r="E2" s="827" t="s">
        <v>2500</v>
      </c>
      <c r="F2" s="827" t="s">
        <v>2526</v>
      </c>
      <c r="G2" s="699"/>
      <c r="H2" s="814"/>
      <c r="I2" s="826" t="s">
        <v>2636</v>
      </c>
      <c r="J2" s="826"/>
      <c r="K2" s="816" t="s">
        <v>2633</v>
      </c>
      <c r="L2" s="816" t="s">
        <v>2552</v>
      </c>
      <c r="M2" s="827" t="s">
        <v>2505</v>
      </c>
      <c r="N2" s="808" t="s">
        <v>2514</v>
      </c>
    </row>
    <row r="3" spans="2:16" s="706" customFormat="1" ht="7.5" customHeight="1" x14ac:dyDescent="0.2">
      <c r="B3" s="700" t="s">
        <v>1874</v>
      </c>
      <c r="C3" s="701" t="s">
        <v>1873</v>
      </c>
      <c r="D3" s="702" t="s">
        <v>2415</v>
      </c>
      <c r="E3" s="828"/>
      <c r="F3" s="828"/>
      <c r="G3" s="703"/>
      <c r="H3" s="815"/>
      <c r="I3" s="704" t="s">
        <v>2595</v>
      </c>
      <c r="J3" s="705" t="s">
        <v>2212</v>
      </c>
      <c r="K3" s="817"/>
      <c r="L3" s="817"/>
      <c r="M3" s="828"/>
      <c r="N3" s="808"/>
    </row>
    <row r="4" spans="2:16" s="627" customFormat="1" ht="7.5" customHeight="1" x14ac:dyDescent="0.2">
      <c r="B4" s="627">
        <v>38</v>
      </c>
      <c r="C4" s="627">
        <v>29</v>
      </c>
      <c r="D4" s="627">
        <v>130</v>
      </c>
      <c r="G4" s="656">
        <v>44958</v>
      </c>
      <c r="I4" s="627">
        <f>360-J4</f>
        <v>285</v>
      </c>
      <c r="J4" s="627">
        <v>75</v>
      </c>
      <c r="K4" s="627">
        <v>65</v>
      </c>
      <c r="L4" s="627">
        <v>176</v>
      </c>
      <c r="M4" s="627">
        <v>485.00099999999998</v>
      </c>
      <c r="N4" s="627" t="s">
        <v>2517</v>
      </c>
      <c r="O4" s="627" t="s">
        <v>2558</v>
      </c>
    </row>
    <row r="5" spans="2:16" s="627" customFormat="1" ht="7.5" customHeight="1" x14ac:dyDescent="0.2">
      <c r="B5" s="627" t="s">
        <v>2501</v>
      </c>
      <c r="C5" s="627">
        <v>8</v>
      </c>
      <c r="D5" s="627">
        <f>D4</f>
        <v>130</v>
      </c>
      <c r="E5" s="627" t="s">
        <v>2528</v>
      </c>
      <c r="F5" s="627" t="s">
        <v>310</v>
      </c>
      <c r="G5" s="656">
        <v>44975</v>
      </c>
      <c r="H5" s="657"/>
      <c r="I5" s="627">
        <f>360-J5</f>
        <v>285</v>
      </c>
      <c r="J5" s="627">
        <v>75</v>
      </c>
      <c r="K5" s="627">
        <v>65</v>
      </c>
      <c r="L5" s="627">
        <v>176</v>
      </c>
      <c r="M5" s="627">
        <v>418.00099999999998</v>
      </c>
      <c r="N5" s="627" t="s">
        <v>2517</v>
      </c>
    </row>
    <row r="6" spans="2:16" s="627" customFormat="1" ht="7.5" customHeight="1" x14ac:dyDescent="0.2">
      <c r="B6" s="692"/>
      <c r="E6" s="693">
        <v>155</v>
      </c>
      <c r="G6" s="694">
        <v>44985</v>
      </c>
      <c r="H6" s="657" t="s">
        <v>2560</v>
      </c>
      <c r="P6" s="657"/>
    </row>
    <row r="7" spans="2:16" s="627" customFormat="1" ht="7.5" customHeight="1" x14ac:dyDescent="0.2">
      <c r="B7" s="692"/>
      <c r="G7" s="694">
        <v>44987</v>
      </c>
      <c r="H7" s="695" t="s">
        <v>2711</v>
      </c>
      <c r="P7" s="657"/>
    </row>
    <row r="8" spans="2:16" x14ac:dyDescent="0.2">
      <c r="B8" s="566"/>
      <c r="G8" s="559">
        <v>45013</v>
      </c>
      <c r="H8" s="658"/>
      <c r="I8" s="555"/>
      <c r="J8" s="555"/>
      <c r="K8" s="555"/>
      <c r="L8" s="555"/>
      <c r="M8" s="555"/>
      <c r="O8" s="669" t="s">
        <v>2744</v>
      </c>
      <c r="P8" s="555"/>
    </row>
    <row r="9" spans="2:16" s="627" customFormat="1" ht="7.5" customHeight="1" x14ac:dyDescent="0.2">
      <c r="B9" s="696"/>
      <c r="E9" s="627" t="s">
        <v>2525</v>
      </c>
      <c r="F9" s="627" t="s">
        <v>2598</v>
      </c>
      <c r="G9" s="656">
        <v>45016</v>
      </c>
      <c r="H9" s="657"/>
      <c r="I9" s="697">
        <v>220</v>
      </c>
      <c r="J9" s="627">
        <v>75</v>
      </c>
      <c r="K9" s="657">
        <v>0</v>
      </c>
      <c r="L9" s="657"/>
      <c r="M9" s="627">
        <v>258</v>
      </c>
      <c r="N9" s="657" t="s">
        <v>2698</v>
      </c>
    </row>
    <row r="10" spans="2:16" x14ac:dyDescent="0.2">
      <c r="B10" s="568"/>
      <c r="C10" s="820" t="s">
        <v>2503</v>
      </c>
      <c r="D10" s="820"/>
      <c r="E10" s="820"/>
      <c r="F10" s="820"/>
      <c r="G10" s="820"/>
      <c r="H10" s="820"/>
      <c r="I10" s="820"/>
      <c r="J10" s="820"/>
      <c r="K10" s="820"/>
      <c r="L10" s="820"/>
      <c r="M10" s="820"/>
      <c r="N10" s="820"/>
      <c r="O10" s="820"/>
      <c r="P10" s="820"/>
    </row>
    <row r="11" spans="2:16" ht="12.75" customHeight="1" x14ac:dyDescent="0.2">
      <c r="B11" s="567"/>
      <c r="C11" s="558" t="s">
        <v>2522</v>
      </c>
      <c r="D11" s="556"/>
      <c r="E11" s="809" t="s">
        <v>2500</v>
      </c>
      <c r="F11" s="809" t="s">
        <v>2526</v>
      </c>
      <c r="G11" s="560"/>
      <c r="H11" s="812" t="s">
        <v>2513</v>
      </c>
      <c r="I11" s="818" t="s">
        <v>2762</v>
      </c>
      <c r="J11" s="821" t="s">
        <v>2634</v>
      </c>
      <c r="K11" s="821"/>
      <c r="L11" s="822"/>
      <c r="M11" s="809" t="s">
        <v>2763</v>
      </c>
      <c r="N11" s="811" t="s">
        <v>2514</v>
      </c>
    </row>
    <row r="12" spans="2:16" x14ac:dyDescent="0.2">
      <c r="B12" s="567"/>
      <c r="C12" s="550" t="s">
        <v>1873</v>
      </c>
      <c r="D12" s="551" t="s">
        <v>2415</v>
      </c>
      <c r="E12" s="810"/>
      <c r="F12" s="810"/>
      <c r="G12" s="562"/>
      <c r="H12" s="813"/>
      <c r="I12" s="819"/>
      <c r="J12" s="707" t="s">
        <v>2524</v>
      </c>
      <c r="K12" s="563" t="s">
        <v>1874</v>
      </c>
      <c r="L12" s="823"/>
      <c r="M12" s="810"/>
      <c r="N12" s="811"/>
    </row>
    <row r="13" spans="2:16" s="627" customFormat="1" x14ac:dyDescent="0.2">
      <c r="B13" s="824">
        <v>8</v>
      </c>
      <c r="C13" s="824"/>
      <c r="G13" s="698">
        <v>45017</v>
      </c>
      <c r="H13" s="657">
        <v>0</v>
      </c>
      <c r="J13" s="708"/>
      <c r="O13" s="627" t="s">
        <v>2523</v>
      </c>
    </row>
    <row r="14" spans="2:16" s="627" customFormat="1" x14ac:dyDescent="0.2">
      <c r="B14" s="696"/>
      <c r="C14" s="627" t="s">
        <v>2501</v>
      </c>
      <c r="E14" s="695" t="s">
        <v>2637</v>
      </c>
      <c r="F14" s="695" t="s">
        <v>2625</v>
      </c>
      <c r="G14" s="656">
        <v>45020</v>
      </c>
      <c r="H14" s="657"/>
      <c r="I14" s="627">
        <v>110</v>
      </c>
      <c r="J14" s="736">
        <f>I9-I14-L14</f>
        <v>110</v>
      </c>
      <c r="K14" s="627">
        <v>75</v>
      </c>
      <c r="M14" s="627">
        <f>M9-B13</f>
        <v>250</v>
      </c>
      <c r="N14" s="657" t="s">
        <v>2698</v>
      </c>
    </row>
    <row r="15" spans="2:16" s="627" customFormat="1" x14ac:dyDescent="0.2">
      <c r="B15" s="696"/>
      <c r="E15" s="695"/>
      <c r="F15" s="695"/>
      <c r="G15" s="656">
        <v>45034</v>
      </c>
      <c r="H15" s="657" t="s">
        <v>2774</v>
      </c>
      <c r="N15" s="657"/>
    </row>
    <row r="16" spans="2:16" x14ac:dyDescent="0.2">
      <c r="B16" s="567"/>
      <c r="E16" s="669" t="s">
        <v>2687</v>
      </c>
      <c r="F16" s="669" t="s">
        <v>2598</v>
      </c>
      <c r="G16" s="561">
        <v>45044</v>
      </c>
      <c r="H16" s="555"/>
      <c r="I16" s="548">
        <v>0</v>
      </c>
      <c r="J16" s="548">
        <v>105</v>
      </c>
      <c r="K16" s="548">
        <f>J5</f>
        <v>75</v>
      </c>
      <c r="M16" s="548">
        <f>M14-ABS(SUM(I14:L14)-SUM(I16:L16))</f>
        <v>135</v>
      </c>
      <c r="N16" s="548" t="s">
        <v>2515</v>
      </c>
      <c r="O16" s="548" t="s">
        <v>2801</v>
      </c>
    </row>
    <row r="17" spans="2:18" x14ac:dyDescent="0.2">
      <c r="B17" s="567"/>
      <c r="E17" s="658"/>
      <c r="F17" s="658"/>
      <c r="G17" s="561"/>
      <c r="H17" s="555"/>
      <c r="O17" s="548" t="s">
        <v>2518</v>
      </c>
    </row>
    <row r="18" spans="2:18" x14ac:dyDescent="0.2">
      <c r="B18" s="567"/>
      <c r="E18" s="658"/>
      <c r="F18" s="658"/>
      <c r="G18" s="561"/>
      <c r="H18" s="555"/>
    </row>
    <row r="19" spans="2:18" x14ac:dyDescent="0.2">
      <c r="B19" s="567"/>
      <c r="E19" s="628"/>
      <c r="F19" s="628"/>
      <c r="H19" s="555"/>
      <c r="N19" s="555"/>
      <c r="O19" s="554" t="s">
        <v>2743</v>
      </c>
    </row>
    <row r="20" spans="2:18" x14ac:dyDescent="0.2">
      <c r="B20" s="567"/>
      <c r="E20" s="552"/>
      <c r="F20" s="552"/>
      <c r="G20" s="561">
        <v>45045</v>
      </c>
      <c r="H20" s="555"/>
      <c r="K20" s="555"/>
      <c r="L20" s="555"/>
      <c r="O20" s="553" t="s">
        <v>2761</v>
      </c>
    </row>
    <row r="21" spans="2:18" x14ac:dyDescent="0.2">
      <c r="B21" s="568"/>
      <c r="C21" s="820" t="s">
        <v>2504</v>
      </c>
      <c r="D21" s="820"/>
      <c r="E21" s="820"/>
      <c r="F21" s="820"/>
      <c r="G21" s="820"/>
      <c r="H21" s="820"/>
      <c r="I21" s="820"/>
      <c r="J21" s="820"/>
      <c r="K21" s="820"/>
      <c r="L21" s="820"/>
      <c r="M21" s="820"/>
      <c r="N21" s="820"/>
      <c r="O21" s="820"/>
      <c r="P21" s="820"/>
    </row>
    <row r="22" spans="2:18" x14ac:dyDescent="0.2">
      <c r="B22" s="567"/>
      <c r="G22" s="561">
        <v>45048</v>
      </c>
      <c r="H22" s="555" t="s">
        <v>2682</v>
      </c>
    </row>
    <row r="23" spans="2:18" x14ac:dyDescent="0.2">
      <c r="B23" s="567"/>
      <c r="E23" s="557"/>
      <c r="F23" s="618"/>
      <c r="G23" s="561">
        <v>45062</v>
      </c>
      <c r="H23" s="555" t="s">
        <v>2683</v>
      </c>
      <c r="K23" s="555"/>
      <c r="L23" s="555"/>
    </row>
    <row r="24" spans="2:18" x14ac:dyDescent="0.2">
      <c r="B24" s="567"/>
      <c r="E24" s="552"/>
      <c r="F24" s="552"/>
      <c r="G24" s="561">
        <v>45076</v>
      </c>
      <c r="H24" s="555" t="s">
        <v>2684</v>
      </c>
      <c r="K24" s="555"/>
      <c r="L24" s="555"/>
      <c r="O24" s="553"/>
    </row>
    <row r="25" spans="2:18" x14ac:dyDescent="0.2">
      <c r="B25" s="567"/>
      <c r="E25" s="552"/>
      <c r="F25" s="552"/>
      <c r="G25" s="561"/>
      <c r="H25" s="555"/>
      <c r="K25" s="555"/>
      <c r="L25" s="555"/>
      <c r="O25" s="553"/>
    </row>
    <row r="26" spans="2:18" x14ac:dyDescent="0.2">
      <c r="B26" s="567"/>
      <c r="E26" s="552"/>
      <c r="F26" s="552"/>
      <c r="G26" s="807">
        <v>45076</v>
      </c>
      <c r="H26" s="555"/>
      <c r="K26" s="555"/>
      <c r="L26" s="555"/>
      <c r="O26" s="548" t="s">
        <v>2543</v>
      </c>
      <c r="R26" s="553"/>
    </row>
    <row r="27" spans="2:18" x14ac:dyDescent="0.2">
      <c r="B27" s="567"/>
      <c r="E27" s="552"/>
      <c r="F27" s="552"/>
      <c r="G27" s="807"/>
      <c r="H27" s="555"/>
      <c r="K27" s="555"/>
      <c r="L27" s="555"/>
      <c r="O27" s="548" t="s">
        <v>2764</v>
      </c>
      <c r="R27" s="553"/>
    </row>
    <row r="28" spans="2:18" x14ac:dyDescent="0.2">
      <c r="B28" s="567"/>
      <c r="C28" s="548">
        <f>20+2</f>
        <v>22</v>
      </c>
      <c r="D28" s="548" t="s">
        <v>2502</v>
      </c>
      <c r="E28" s="552"/>
      <c r="F28" s="552"/>
      <c r="G28" s="589">
        <v>45077</v>
      </c>
      <c r="H28" s="555"/>
      <c r="K28" s="555"/>
      <c r="L28" s="555"/>
      <c r="O28" s="548" t="s">
        <v>2512</v>
      </c>
      <c r="R28" s="553"/>
    </row>
    <row r="29" spans="2:18" x14ac:dyDescent="0.2">
      <c r="B29" s="567"/>
      <c r="G29" s="588">
        <v>45078</v>
      </c>
      <c r="H29" s="555"/>
      <c r="K29" s="555"/>
      <c r="L29" s="555"/>
      <c r="O29" s="548" t="s">
        <v>2765</v>
      </c>
    </row>
    <row r="30" spans="2:18" x14ac:dyDescent="0.2">
      <c r="B30" s="567"/>
      <c r="E30" s="557" t="s">
        <v>2527</v>
      </c>
      <c r="F30" s="554" t="s">
        <v>1866</v>
      </c>
      <c r="G30" s="588">
        <v>45079</v>
      </c>
      <c r="H30" s="555"/>
      <c r="K30" s="555"/>
      <c r="L30" s="555"/>
      <c r="M30" s="548">
        <f>M16-C28</f>
        <v>113</v>
      </c>
      <c r="N30" s="548" t="s">
        <v>2516</v>
      </c>
    </row>
    <row r="31" spans="2:18" x14ac:dyDescent="0.2">
      <c r="B31" s="567"/>
      <c r="E31" s="557"/>
      <c r="F31" s="554"/>
      <c r="G31" s="588"/>
      <c r="H31" s="555"/>
      <c r="K31" s="555"/>
      <c r="L31" s="555"/>
    </row>
    <row r="32" spans="2:18" x14ac:dyDescent="0.2">
      <c r="B32" s="567"/>
      <c r="E32" s="554"/>
      <c r="G32" s="561">
        <v>45104</v>
      </c>
      <c r="H32" s="555"/>
      <c r="K32" s="555"/>
      <c r="L32" s="555"/>
      <c r="O32" s="548" t="s">
        <v>2731</v>
      </c>
    </row>
    <row r="33" spans="2:15" x14ac:dyDescent="0.2">
      <c r="B33" s="567"/>
      <c r="C33" s="548">
        <f>113+1</f>
        <v>114</v>
      </c>
      <c r="D33" s="548" t="s">
        <v>2502</v>
      </c>
      <c r="G33" s="561">
        <v>45105</v>
      </c>
      <c r="H33" s="555"/>
      <c r="K33" s="555"/>
      <c r="L33" s="555"/>
      <c r="O33" s="548" t="s">
        <v>2511</v>
      </c>
    </row>
    <row r="34" spans="2:15" x14ac:dyDescent="0.2">
      <c r="B34" s="567"/>
      <c r="G34" s="561">
        <v>45106</v>
      </c>
      <c r="H34" s="555"/>
      <c r="K34" s="555"/>
      <c r="L34" s="555"/>
      <c r="O34" s="548" t="s">
        <v>2521</v>
      </c>
    </row>
    <row r="35" spans="2:15" x14ac:dyDescent="0.2">
      <c r="B35" s="567"/>
      <c r="E35" s="590" t="s">
        <v>2508</v>
      </c>
      <c r="F35" s="590" t="s">
        <v>2509</v>
      </c>
      <c r="G35" s="561">
        <v>45107</v>
      </c>
      <c r="H35" s="555"/>
      <c r="K35" s="555"/>
      <c r="L35" s="555"/>
    </row>
    <row r="36" spans="2:15" x14ac:dyDescent="0.2">
      <c r="H36" s="555"/>
      <c r="K36" s="555"/>
      <c r="L36" s="555"/>
    </row>
    <row r="37" spans="2:15" x14ac:dyDescent="0.2">
      <c r="H37" s="555"/>
      <c r="K37" s="555"/>
      <c r="L37" s="555"/>
      <c r="N37" s="570">
        <v>10000</v>
      </c>
      <c r="O37" s="569" t="s">
        <v>2510</v>
      </c>
    </row>
    <row r="38" spans="2:15" x14ac:dyDescent="0.2">
      <c r="N38" s="571">
        <f>3.78%-2.5%</f>
        <v>1.2799999999999999E-2</v>
      </c>
      <c r="O38" s="569" t="s">
        <v>2507</v>
      </c>
    </row>
    <row r="39" spans="2:15" x14ac:dyDescent="0.2">
      <c r="N39" s="572">
        <f>N37*N38/12</f>
        <v>10.666666666666666</v>
      </c>
      <c r="O39" s="569" t="s">
        <v>2506</v>
      </c>
    </row>
  </sheetData>
  <mergeCells count="21">
    <mergeCell ref="I2:J2"/>
    <mergeCell ref="E2:E3"/>
    <mergeCell ref="F2:F3"/>
    <mergeCell ref="M2:M3"/>
    <mergeCell ref="K2:K3"/>
    <mergeCell ref="G26:G27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21:P21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2023-04-11T05:52:01Z</cp:lastPrinted>
  <dcterms:created xsi:type="dcterms:W3CDTF">1998-07-18T13:03:51Z</dcterms:created>
  <dcterms:modified xsi:type="dcterms:W3CDTF">2023-04-28T05:18:33Z</dcterms:modified>
</cp:coreProperties>
</file>