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C9657605-2DDC-42A3-99F3-D570775679ED}" xr6:coauthVersionLast="47" xr6:coauthVersionMax="47" xr10:uidLastSave="{00000000-0000-0000-0000-000000000000}"/>
  <bookViews>
    <workbookView xWindow="150" yWindow="-21600" windowWidth="17310" windowHeight="21150" firstSheet="1" activeTab="1" xr2:uid="{D4D1A54F-01AE-4300-8644-B16194D9355C}"/>
  </bookViews>
  <sheets>
    <sheet name="Fli2pf 200k" sheetId="6" state="hidden" r:id="rId1"/>
    <sheet name="FWD300" sheetId="9" r:id="rId2"/>
    <sheet name="FWD317" sheetId="8" state="hidden" r:id="rId3"/>
    <sheet name="overlap ptf" sheetId="4" state="hidden" r:id="rId4"/>
    <sheet name="FLI2" sheetId="1" r:id="rId5"/>
    <sheet name="FLI2PF" sheetId="5" state="hidden" r:id="rId6"/>
    <sheet name="FWD41" sheetId="10" r:id="rId7"/>
    <sheet name="xirr test" sheetId="3" r:id="rId8"/>
    <sheet name="LTIS" sheetId="2" state="hidden" r:id="rId9"/>
    <sheet name="Taiping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E28" i="10"/>
  <c r="D8" i="10"/>
  <c r="J7" i="10"/>
  <c r="I7" i="10"/>
  <c r="D4" i="10"/>
  <c r="D3" i="10"/>
  <c r="D28" i="10" s="1"/>
  <c r="G5" i="8"/>
  <c r="D9" i="10" l="1"/>
  <c r="G6" i="10"/>
  <c r="D8" i="9"/>
  <c r="D3" i="9"/>
  <c r="K9" i="9"/>
  <c r="I9" i="9"/>
  <c r="D4" i="9"/>
  <c r="D8" i="8"/>
  <c r="I5" i="8"/>
  <c r="D13" i="10" l="1"/>
  <c r="D11" i="10"/>
  <c r="K5" i="10"/>
  <c r="D26" i="10"/>
  <c r="D24" i="10"/>
  <c r="D22" i="10"/>
  <c r="D20" i="10"/>
  <c r="D18" i="10"/>
  <c r="D16" i="10"/>
  <c r="D14" i="10"/>
  <c r="D12" i="10"/>
  <c r="K6" i="10"/>
  <c r="D27" i="10"/>
  <c r="D25" i="10"/>
  <c r="D23" i="10"/>
  <c r="D21" i="10"/>
  <c r="D19" i="10"/>
  <c r="D17" i="10"/>
  <c r="D15" i="10"/>
  <c r="K7" i="10"/>
  <c r="D28" i="9"/>
  <c r="G6" i="9"/>
  <c r="D28" i="8"/>
  <c r="E28" i="8"/>
  <c r="K8" i="10" l="1"/>
  <c r="D6" i="10" s="1"/>
  <c r="D12" i="9"/>
  <c r="D16" i="9"/>
  <c r="D20" i="9"/>
  <c r="D24" i="9"/>
  <c r="D11" i="9"/>
  <c r="D15" i="9"/>
  <c r="B15" i="9" s="1"/>
  <c r="D27" i="9"/>
  <c r="D13" i="9"/>
  <c r="D17" i="9"/>
  <c r="D21" i="9"/>
  <c r="D25" i="9"/>
  <c r="D19" i="9"/>
  <c r="D23" i="9"/>
  <c r="D14" i="9"/>
  <c r="D18" i="9"/>
  <c r="D22" i="9"/>
  <c r="D26" i="9"/>
  <c r="J9" i="9"/>
  <c r="J7" i="9"/>
  <c r="J8" i="9"/>
  <c r="H5" i="5"/>
  <c r="A16" i="10" l="1"/>
  <c r="A24" i="10"/>
  <c r="A11" i="10"/>
  <c r="A17" i="10"/>
  <c r="A25" i="10"/>
  <c r="A12" i="10"/>
  <c r="A18" i="10"/>
  <c r="A26" i="10"/>
  <c r="A19" i="10"/>
  <c r="A27" i="10"/>
  <c r="A13" i="10"/>
  <c r="A14" i="10"/>
  <c r="A20" i="10"/>
  <c r="A28" i="10"/>
  <c r="A15" i="10"/>
  <c r="A21" i="10"/>
  <c r="A22" i="10"/>
  <c r="A9" i="10"/>
  <c r="B9" i="10" s="1"/>
  <c r="A23" i="10"/>
  <c r="B28" i="10"/>
  <c r="J10" i="9"/>
  <c r="D6" i="9" s="1"/>
  <c r="A8" i="9" s="1"/>
  <c r="B28" i="9"/>
  <c r="J3" i="5"/>
  <c r="J5" i="5"/>
  <c r="A11" i="9" l="1"/>
  <c r="B8" i="9"/>
  <c r="A23" i="9"/>
  <c r="A24" i="9"/>
  <c r="A22" i="9"/>
  <c r="A12" i="9"/>
  <c r="A20" i="9"/>
  <c r="A16" i="9"/>
  <c r="A17" i="9"/>
  <c r="A25" i="9"/>
  <c r="A21" i="9"/>
  <c r="A19" i="9"/>
  <c r="A14" i="9"/>
  <c r="A28" i="9"/>
  <c r="A13" i="9"/>
  <c r="A26" i="9"/>
  <c r="A18" i="9"/>
  <c r="A15" i="9"/>
  <c r="A27" i="9"/>
  <c r="K7" i="4"/>
  <c r="K5" i="5" l="1"/>
  <c r="J5" i="8"/>
  <c r="D4" i="8"/>
  <c r="D9" i="8" l="1"/>
  <c r="D11" i="8"/>
  <c r="K4" i="8" l="1"/>
  <c r="K3" i="8"/>
  <c r="K5" i="8"/>
  <c r="D16" i="8"/>
  <c r="D24" i="8"/>
  <c r="D17" i="8"/>
  <c r="D25" i="8"/>
  <c r="D18" i="8"/>
  <c r="D26" i="8"/>
  <c r="D21" i="8"/>
  <c r="D14" i="8"/>
  <c r="D22" i="8"/>
  <c r="D15" i="8"/>
  <c r="B15" i="8" s="1"/>
  <c r="D19" i="8"/>
  <c r="D27" i="8"/>
  <c r="D12" i="8"/>
  <c r="D20" i="8"/>
  <c r="D13" i="8"/>
  <c r="D23" i="8"/>
  <c r="D3" i="7"/>
  <c r="A3" i="7" s="1"/>
  <c r="D5" i="7"/>
  <c r="D6" i="7"/>
  <c r="D7" i="7"/>
  <c r="D8" i="7"/>
  <c r="D9" i="7"/>
  <c r="D11" i="7"/>
  <c r="D12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B30" i="7"/>
  <c r="D30" i="7"/>
  <c r="A12" i="7" l="1"/>
  <c r="B12" i="7"/>
  <c r="A19" i="7"/>
  <c r="A6" i="7"/>
  <c r="A25" i="7"/>
  <c r="A17" i="7"/>
  <c r="A11" i="7"/>
  <c r="K6" i="8"/>
  <c r="D6" i="8" s="1"/>
  <c r="A9" i="7"/>
  <c r="A21" i="7"/>
  <c r="A15" i="7"/>
  <c r="A8" i="7"/>
  <c r="A14" i="7"/>
  <c r="A7" i="7"/>
  <c r="A23" i="7"/>
  <c r="A29" i="7"/>
  <c r="A5" i="7"/>
  <c r="A27" i="7"/>
  <c r="A30" i="7"/>
  <c r="A28" i="7"/>
  <c r="A26" i="7"/>
  <c r="A24" i="7"/>
  <c r="A22" i="7"/>
  <c r="A20" i="7"/>
  <c r="A18" i="7"/>
  <c r="A16" i="7"/>
  <c r="A4" i="7"/>
  <c r="A9" i="8" l="1"/>
  <c r="B9" i="8" s="1"/>
  <c r="A11" i="8"/>
  <c r="B28" i="8"/>
  <c r="A21" i="8"/>
  <c r="A12" i="8"/>
  <c r="A13" i="8"/>
  <c r="A26" i="8"/>
  <c r="A16" i="8"/>
  <c r="A20" i="8"/>
  <c r="A22" i="8"/>
  <c r="A17" i="8"/>
  <c r="A14" i="8"/>
  <c r="A15" i="8"/>
  <c r="A27" i="8"/>
  <c r="A28" i="8"/>
  <c r="A18" i="8"/>
  <c r="A24" i="8"/>
  <c r="A19" i="8"/>
  <c r="A23" i="8"/>
  <c r="A25" i="8"/>
  <c r="G12" i="4"/>
  <c r="K11" i="4"/>
  <c r="G23" i="4" l="1"/>
  <c r="G8" i="4"/>
  <c r="G9" i="4" s="1"/>
  <c r="G27" i="4"/>
  <c r="G21" i="4"/>
  <c r="F6" i="4"/>
  <c r="K10" i="4" s="1"/>
  <c r="F32" i="4" s="1"/>
  <c r="D4" i="4"/>
  <c r="D3" i="5"/>
  <c r="D9" i="6"/>
  <c r="D4" i="6"/>
  <c r="I3" i="6"/>
  <c r="D3" i="6"/>
  <c r="G6" i="6" s="1"/>
  <c r="D11" i="6" s="1"/>
  <c r="G3" i="2"/>
  <c r="F7" i="4"/>
  <c r="D7" i="4" s="1"/>
  <c r="F17" i="4"/>
  <c r="D17" i="4" s="1"/>
  <c r="D4" i="5"/>
  <c r="D6" i="2" l="1"/>
  <c r="D12" i="2"/>
  <c r="B30" i="2"/>
  <c r="D30" i="2"/>
  <c r="D16" i="2"/>
  <c r="D20" i="2"/>
  <c r="D24" i="2"/>
  <c r="D28" i="2"/>
  <c r="D29" i="2"/>
  <c r="D17" i="2"/>
  <c r="D21" i="2"/>
  <c r="D25" i="2"/>
  <c r="D14" i="2"/>
  <c r="D18" i="2"/>
  <c r="D22" i="2"/>
  <c r="D26" i="2"/>
  <c r="D15" i="2"/>
  <c r="D19" i="2"/>
  <c r="D23" i="2"/>
  <c r="D27" i="2"/>
  <c r="D21" i="6"/>
  <c r="D6" i="6"/>
  <c r="A7" i="6" s="1"/>
  <c r="D12" i="6"/>
  <c r="A12" i="6" s="1"/>
  <c r="D17" i="6"/>
  <c r="D18" i="6"/>
  <c r="D11" i="2"/>
  <c r="D28" i="6"/>
  <c r="D10" i="6"/>
  <c r="D22" i="6"/>
  <c r="D23" i="6"/>
  <c r="D24" i="6"/>
  <c r="K4" i="6"/>
  <c r="D16" i="6"/>
  <c r="K5" i="6"/>
  <c r="A6" i="6"/>
  <c r="F13" i="4"/>
  <c r="D13" i="4" s="1"/>
  <c r="K33" i="4"/>
  <c r="F36" i="4"/>
  <c r="D36" i="4" s="1"/>
  <c r="F18" i="4"/>
  <c r="F33" i="4"/>
  <c r="D33" i="4" s="1"/>
  <c r="F38" i="4"/>
  <c r="D38" i="4" s="1"/>
  <c r="F37" i="4"/>
  <c r="D37" i="4" s="1"/>
  <c r="F35" i="4"/>
  <c r="D35" i="4" s="1"/>
  <c r="F34" i="4"/>
  <c r="D34" i="4" s="1"/>
  <c r="D6" i="4"/>
  <c r="D25" i="6"/>
  <c r="A8" i="6"/>
  <c r="D20" i="6"/>
  <c r="D26" i="6"/>
  <c r="D13" i="6"/>
  <c r="K6" i="6"/>
  <c r="D19" i="6"/>
  <c r="D27" i="6"/>
  <c r="D14" i="6"/>
  <c r="K3" i="6"/>
  <c r="A4" i="6"/>
  <c r="D15" i="6"/>
  <c r="A5" i="6"/>
  <c r="G31" i="4"/>
  <c r="D31" i="4" s="1"/>
  <c r="A10" i="6" l="1"/>
  <c r="B6" i="4"/>
  <c r="B7" i="4"/>
  <c r="B28" i="6"/>
  <c r="A11" i="6"/>
  <c r="A23" i="6"/>
  <c r="A17" i="6"/>
  <c r="A13" i="6"/>
  <c r="A9" i="6"/>
  <c r="A19" i="6"/>
  <c r="A21" i="6"/>
  <c r="A28" i="6"/>
  <c r="A15" i="6"/>
  <c r="A24" i="6"/>
  <c r="D32" i="4"/>
  <c r="F24" i="4"/>
  <c r="A26" i="6"/>
  <c r="A16" i="6"/>
  <c r="A25" i="6"/>
  <c r="A18" i="6"/>
  <c r="A20" i="6"/>
  <c r="A22" i="6"/>
  <c r="A14" i="6"/>
  <c r="A27" i="6"/>
  <c r="H9" i="5"/>
  <c r="D21" i="4"/>
  <c r="D27" i="4"/>
  <c r="G30" i="4"/>
  <c r="D30" i="4" s="1"/>
  <c r="G29" i="4"/>
  <c r="D29" i="4" s="1"/>
  <c r="G28" i="4"/>
  <c r="D28" i="4" s="1"/>
  <c r="G22" i="4"/>
  <c r="D22" i="4" s="1"/>
  <c r="E14" i="4"/>
  <c r="D14" i="4" s="1"/>
  <c r="D16" i="5" l="1"/>
  <c r="D11" i="5"/>
  <c r="D24" i="5"/>
  <c r="D25" i="5"/>
  <c r="D14" i="5"/>
  <c r="D17" i="5"/>
  <c r="D21" i="5"/>
  <c r="D23" i="5"/>
  <c r="D26" i="5"/>
  <c r="D18" i="5"/>
  <c r="D20" i="5"/>
  <c r="D22" i="5"/>
  <c r="D12" i="5"/>
  <c r="D13" i="5"/>
  <c r="D15" i="5"/>
  <c r="D19" i="5"/>
  <c r="D27" i="5"/>
  <c r="B11" i="5"/>
  <c r="B14" i="5"/>
  <c r="B12" i="5"/>
  <c r="B13" i="5"/>
  <c r="B15" i="5"/>
  <c r="L4" i="5"/>
  <c r="L3" i="5"/>
  <c r="L5" i="5"/>
  <c r="D23" i="4"/>
  <c r="E15" i="4"/>
  <c r="D15" i="4" s="1"/>
  <c r="D12" i="4"/>
  <c r="D9" i="4"/>
  <c r="E3" i="4"/>
  <c r="D6" i="5" l="1"/>
  <c r="D3" i="4"/>
  <c r="D8" i="4"/>
  <c r="G20" i="4"/>
  <c r="D20" i="4" s="1"/>
  <c r="G19" i="4"/>
  <c r="D19" i="4" s="1"/>
  <c r="G11" i="4"/>
  <c r="G16" i="4"/>
  <c r="D16" i="4" s="1"/>
  <c r="D18" i="4"/>
  <c r="E5" i="4"/>
  <c r="E10" i="4"/>
  <c r="B27" i="3"/>
  <c r="E1" i="3" s="1"/>
  <c r="B9" i="5" l="1"/>
  <c r="A9" i="5" s="1"/>
  <c r="B28" i="5"/>
  <c r="B8" i="4"/>
  <c r="B9" i="4"/>
  <c r="E25" i="4"/>
  <c r="G24" i="4"/>
  <c r="D11" i="4"/>
  <c r="E24" i="4"/>
  <c r="D5" i="4"/>
  <c r="K14" i="4" s="1"/>
  <c r="D10" i="4"/>
  <c r="B31" i="4" l="1"/>
  <c r="B22" i="4"/>
  <c r="B13" i="4"/>
  <c r="B19" i="4"/>
  <c r="B30" i="4"/>
  <c r="B12" i="4"/>
  <c r="B23" i="4"/>
  <c r="B29" i="4"/>
  <c r="B35" i="4"/>
  <c r="B20" i="4"/>
  <c r="B17" i="4"/>
  <c r="B15" i="4"/>
  <c r="B14" i="4"/>
  <c r="B11" i="4"/>
  <c r="B34" i="4"/>
  <c r="B37" i="4"/>
  <c r="B38" i="4"/>
  <c r="B27" i="4"/>
  <c r="B21" i="4"/>
  <c r="B33" i="4"/>
  <c r="B36" i="4"/>
  <c r="B28" i="4"/>
  <c r="B18" i="4"/>
  <c r="B16" i="4"/>
  <c r="B32" i="4"/>
  <c r="B10" i="4"/>
  <c r="K13" i="4"/>
  <c r="K15" i="4" s="1"/>
  <c r="C10" i="1" l="1"/>
  <c r="C9" i="1"/>
  <c r="D5" i="2"/>
  <c r="D4" i="2"/>
  <c r="D7" i="2"/>
  <c r="D8" i="2"/>
  <c r="D9" i="2"/>
  <c r="D3" i="2"/>
  <c r="A29" i="2" l="1"/>
  <c r="A30" i="2"/>
  <c r="A12" i="2"/>
  <c r="B12" i="2"/>
  <c r="A14" i="2"/>
  <c r="A16" i="2"/>
  <c r="A22" i="2"/>
  <c r="A8" i="2"/>
  <c r="A4" i="2"/>
  <c r="A28" i="2"/>
  <c r="A20" i="2"/>
  <c r="A6" i="2"/>
  <c r="A27" i="2"/>
  <c r="A23" i="2"/>
  <c r="A26" i="2"/>
  <c r="A25" i="2"/>
  <c r="A9" i="2"/>
  <c r="A19" i="2"/>
  <c r="A18" i="2"/>
  <c r="A21" i="2"/>
  <c r="A17" i="2"/>
  <c r="A5" i="2"/>
  <c r="A7" i="2"/>
  <c r="A3" i="2"/>
  <c r="A15" i="2"/>
  <c r="A11" i="2"/>
  <c r="A24" i="2"/>
  <c r="C3" i="1"/>
  <c r="C5" i="1" l="1"/>
  <c r="C7" i="1"/>
  <c r="F10" i="1"/>
  <c r="A10" i="1" l="1"/>
</calcChain>
</file>

<file path=xl/sharedStrings.xml><?xml version="1.0" encoding="utf-8"?>
<sst xmlns="http://schemas.openxmlformats.org/spreadsheetml/2006/main" count="157" uniqueCount="89">
  <si>
    <t>total prem</t>
  </si>
  <si>
    <t>XIRR</t>
  </si>
  <si>
    <t>cash in/out</t>
  </si>
  <si>
    <t>9% of 30k</t>
  </si>
  <si>
    <t>first payout</t>
  </si>
  <si>
    <t>total prem - FLI2</t>
  </si>
  <si>
    <t>xirr</t>
  </si>
  <si>
    <t>first payout FLI2</t>
  </si>
  <si>
    <t>first payout LTIS</t>
  </si>
  <si>
    <t>surrender LTIS</t>
  </si>
  <si>
    <t>total prem - Ltis</t>
  </si>
  <si>
    <t>golden handshake</t>
  </si>
  <si>
    <t>net income</t>
  </si>
  <si>
    <t>total prem - FLI2PF</t>
  </si>
  <si>
    <t>first payout Fli2pm</t>
  </si>
  <si>
    <t>30M int cost</t>
  </si>
  <si>
    <t>Fli2pm upfront</t>
  </si>
  <si>
    <t>Fli2pm down payment</t>
  </si>
  <si>
    <t>surrender Fli2pm #200k to wipe out $144k loan</t>
  </si>
  <si>
    <t>long term LIR</t>
  </si>
  <si>
    <t xml:space="preserve">Feb26-Jan27 LIR </t>
  </si>
  <si>
    <t>loan quantum</t>
  </si>
  <si>
    <t>upfront rebate</t>
  </si>
  <si>
    <t>Ltis 9% of 30k</t>
  </si>
  <si>
    <t>FLI2PF upfront</t>
  </si>
  <si>
    <t>first payout FLI2PF</t>
  </si>
  <si>
    <t>FLI2</t>
  </si>
  <si>
    <t>FLI2PF</t>
  </si>
  <si>
    <t>loan quantum #76%</t>
  </si>
  <si>
    <t>sumOf3-&gt;</t>
  </si>
  <si>
    <t>Feb26-Jan27 LIR#est</t>
  </si>
  <si>
    <t>FLI2 upfront</t>
  </si>
  <si>
    <t>keep -0.01 to satisfy xirr</t>
  </si>
  <si>
    <t>LTIS</t>
  </si>
  <si>
    <t>net inc</t>
  </si>
  <si>
    <t>net inc end-to-end excluding 210k nest egg</t>
  </si>
  <si>
    <t>$4512 bonus</t>
  </si>
  <si>
    <t>FLI2PF 首付</t>
  </si>
  <si>
    <t>12mTD excess profit</t>
  </si>
  <si>
    <t>capital deployed</t>
  </si>
  <si>
    <t>capital 2b earmarked</t>
  </si>
  <si>
    <t>redeem FLI2</t>
  </si>
  <si>
    <t>redeem FLI2PF</t>
  </si>
  <si>
    <t>redeem LTIS</t>
  </si>
  <si>
    <t>This analysis has received lots of sunshine and become valuable</t>
  </si>
  <si>
    <t>-&gt;</t>
  </si>
  <si>
    <t>long term LIR est</t>
  </si>
  <si>
    <t>end2end profit 
#cf other 3 tabs:</t>
  </si>
  <si>
    <t>net DYOC</t>
  </si>
  <si>
    <t>30M int 
#当作Nov25缴</t>
  </si>
  <si>
    <t>&lt;XIRR&gt;</t>
  </si>
  <si>
    <t>ICBC 12M TD excess return (or 2.4 ppa on 100k)</t>
  </si>
  <si>
    <t>excess profit over 12M</t>
  </si>
  <si>
    <t>annual FCF received, while keeping 210k liquid  in FLI2PF and LTIS</t>
  </si>
  <si>
    <t>watermark of cum outlay since Aug24</t>
  </si>
  <si>
    <t>FWD down payment</t>
  </si>
  <si>
    <t>FWD upfront</t>
  </si>
  <si>
    <t>first payout FWD</t>
  </si>
  <si>
    <t>36M int cost</t>
  </si>
  <si>
    <t>total prem - FWD</t>
  </si>
  <si>
    <t>FWD DYOC</t>
  </si>
  <si>
    <t>FWD xirr</t>
  </si>
  <si>
    <t>surrender FLI2PF #317k to wipe out loan</t>
  </si>
  <si>
    <t>FLI2PF down payment</t>
  </si>
  <si>
    <t>FLI2pf xirr</t>
  </si>
  <si>
    <t>PnL</t>
  </si>
  <si>
    <t>net outlay</t>
  </si>
  <si>
    <t>ditto</t>
  </si>
  <si>
    <t>-- if 退保 --</t>
  </si>
  <si>
    <t>Surrender bonus=17k+ after 20Y</t>
  </si>
  <si>
    <t xml:space="preserve">DYOC </t>
  </si>
  <si>
    <t>annual payout proj</t>
  </si>
  <si>
    <t>DYOC is simpler, more direct but less unbiased than XIRR</t>
  </si>
  <si>
    <t>final 6M COF+45bp</t>
  </si>
  <si>
    <t>DYOC "cost" calc is arbitrary.. includes down payment, assumes $0 upfront payout</t>
  </si>
  <si>
    <t>27M int cost</t>
  </si>
  <si>
    <t>total prem#portal</t>
  </si>
  <si>
    <t>first payout #illustration</t>
  </si>
  <si>
    <t xml:space="preserve">final 1Y+  LIR </t>
  </si>
  <si>
    <t>&lt; COF+0.4% spread</t>
  </si>
  <si>
    <t>&lt; actually spread out over 12M after</t>
  </si>
  <si>
    <t>surrender FWD 317k to wipe out loan</t>
  </si>
  <si>
    <t>&lt;- 3.38% for first 24 payout years</t>
  </si>
  <si>
    <t>surrender FWD to wipe out loan</t>
  </si>
  <si>
    <t>FWD41 can absorb more of my spare cash (welcome) but what if in X years I need more liquidity?</t>
  </si>
  <si>
    <t>FWD300k is better in concentration risk, more prudent, in terms of worst-case PnL, monthly loan int</t>
  </si>
  <si>
    <t>&lt; COF + 40 bps over 14M</t>
  </si>
  <si>
    <t>^^if 退保</t>
  </si>
  <si>
    <t>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</si>
</sst>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/yy;@"/>
    <numFmt numFmtId="165" formatCode="&quot;$&quot;#,##0"/>
    <numFmt numFmtId="166" formatCode="&quot;$&quot;#,##0.00"/>
    <numFmt numFmtId="167" formatCode="0.0000%"/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Border="1"/>
    <xf numFmtId="166" fontId="0" fillId="0" borderId="0" xfId="0" applyNumberFormat="1"/>
    <xf numFmtId="0" fontId="0" fillId="0" borderId="0" xfId="0" applyNumberFormat="1"/>
    <xf numFmtId="9" fontId="0" fillId="0" borderId="0" xfId="0" applyNumberFormat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17" fontId="0" fillId="0" borderId="6" xfId="0" applyNumberFormat="1" applyBorder="1"/>
    <xf numFmtId="10" fontId="0" fillId="0" borderId="6" xfId="0" applyNumberFormat="1" applyBorder="1"/>
    <xf numFmtId="0" fontId="0" fillId="0" borderId="6" xfId="0" applyBorder="1" applyAlignment="1">
      <alignment horizontal="left"/>
    </xf>
    <xf numFmtId="4" fontId="0" fillId="0" borderId="0" xfId="0" applyNumberFormat="1"/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8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0" fontId="0" fillId="0" borderId="0" xfId="1" applyNumberFormat="1" applyFont="1"/>
    <xf numFmtId="0" fontId="0" fillId="0" borderId="6" xfId="0" applyBorder="1" applyAlignment="1">
      <alignment wrapText="1"/>
    </xf>
    <xf numFmtId="3" fontId="0" fillId="0" borderId="6" xfId="0" applyNumberFormat="1" applyFont="1" applyBorder="1"/>
    <xf numFmtId="167" fontId="0" fillId="0" borderId="0" xfId="0" applyNumberFormat="1"/>
    <xf numFmtId="168" fontId="0" fillId="0" borderId="0" xfId="0" applyNumberFormat="1"/>
    <xf numFmtId="3" fontId="0" fillId="0" borderId="6" xfId="0" quotePrefix="1" applyNumberFormat="1" applyBorder="1"/>
    <xf numFmtId="10" fontId="0" fillId="0" borderId="0" xfId="1" applyNumberFormat="1" applyFont="1" applyBorder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10" fontId="0" fillId="0" borderId="0" xfId="1" applyNumberFormat="1" applyFont="1" applyFill="1" applyBorder="1"/>
    <xf numFmtId="0" fontId="0" fillId="0" borderId="6" xfId="0" applyFill="1" applyBorder="1"/>
    <xf numFmtId="165" fontId="0" fillId="0" borderId="6" xfId="0" applyNumberFormat="1" applyFill="1" applyBorder="1"/>
    <xf numFmtId="10" fontId="0" fillId="0" borderId="6" xfId="0" applyNumberFormat="1" applyFill="1" applyBorder="1"/>
    <xf numFmtId="0" fontId="0" fillId="0" borderId="6" xfId="0" applyFill="1" applyBorder="1" applyAlignment="1">
      <alignment horizontal="left"/>
    </xf>
    <xf numFmtId="168" fontId="0" fillId="0" borderId="6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 applyAlignment="1">
      <alignment horizontal="right"/>
    </xf>
    <xf numFmtId="17" fontId="0" fillId="0" borderId="6" xfId="0" applyNumberFormat="1" applyFill="1" applyBorder="1"/>
    <xf numFmtId="164" fontId="0" fillId="0" borderId="6" xfId="0" applyNumberFormat="1" applyFill="1" applyBorder="1"/>
    <xf numFmtId="0" fontId="0" fillId="0" borderId="0" xfId="0" applyFill="1" applyBorder="1" applyAlignment="1">
      <alignment horizontal="right"/>
    </xf>
    <xf numFmtId="4" fontId="0" fillId="0" borderId="6" xfId="0" applyNumberFormat="1" applyFill="1" applyBorder="1"/>
    <xf numFmtId="4" fontId="0" fillId="0" borderId="0" xfId="0" applyNumberFormat="1" applyFill="1"/>
    <xf numFmtId="165" fontId="0" fillId="0" borderId="6" xfId="0" applyNumberFormat="1" applyBorder="1"/>
    <xf numFmtId="0" fontId="0" fillId="0" borderId="6" xfId="0" applyNumberFormat="1" applyBorder="1"/>
    <xf numFmtId="1" fontId="0" fillId="0" borderId="6" xfId="0" applyNumberFormat="1" applyBorder="1"/>
    <xf numFmtId="10" fontId="0" fillId="0" borderId="6" xfId="0" applyNumberFormat="1" applyFill="1" applyBorder="1" applyAlignment="1">
      <alignment horizontal="left"/>
    </xf>
    <xf numFmtId="10" fontId="0" fillId="0" borderId="6" xfId="0" applyNumberFormat="1" applyBorder="1" applyAlignment="1">
      <alignment horizontal="left"/>
    </xf>
    <xf numFmtId="0" fontId="0" fillId="0" borderId="0" xfId="0"/>
    <xf numFmtId="3" fontId="0" fillId="0" borderId="0" xfId="0" quotePrefix="1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" fontId="0" fillId="0" borderId="1" xfId="0" applyNumberFormat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D802-F9D4-40CD-9458-754DF046B7C7}">
  <dimension ref="A2:K31"/>
  <sheetViews>
    <sheetView workbookViewId="0">
      <selection activeCell="G5" sqref="G5"/>
    </sheetView>
  </sheetViews>
  <sheetFormatPr defaultRowHeight="15" x14ac:dyDescent="0.25"/>
  <cols>
    <col min="1" max="1" width="11" bestFit="1" customWidth="1"/>
    <col min="2" max="2" width="7.140625" customWidth="1"/>
    <col min="3" max="3" width="7.42578125" style="3" bestFit="1" customWidth="1"/>
    <col min="4" max="4" width="10.85546875" bestFit="1" customWidth="1"/>
    <col min="5" max="5" width="17.140625" customWidth="1"/>
    <col min="6" max="6" width="17.7109375" bestFit="1" customWidth="1"/>
  </cols>
  <sheetData>
    <row r="2" spans="1:11" x14ac:dyDescent="0.25">
      <c r="A2" t="s">
        <v>12</v>
      </c>
      <c r="B2" t="s">
        <v>6</v>
      </c>
      <c r="C2" s="4"/>
      <c r="D2" t="s">
        <v>2</v>
      </c>
    </row>
    <row r="3" spans="1:11" x14ac:dyDescent="0.25">
      <c r="A3" s="5"/>
      <c r="B3" s="2"/>
      <c r="C3" s="3">
        <v>45505</v>
      </c>
      <c r="D3" s="5">
        <f>-28%*G4</f>
        <v>-56000.000000000007</v>
      </c>
      <c r="E3" t="s">
        <v>17</v>
      </c>
      <c r="I3">
        <f>5/12</f>
        <v>0.41666666666666669</v>
      </c>
      <c r="J3" s="2">
        <v>2.75E-2</v>
      </c>
      <c r="K3" s="9">
        <f>G6*I3*J3</f>
        <v>1650</v>
      </c>
    </row>
    <row r="4" spans="1:11" x14ac:dyDescent="0.25">
      <c r="A4" s="5">
        <f>SUM($D$3:D4)</f>
        <v>-53260.000000000007</v>
      </c>
      <c r="B4" s="2"/>
      <c r="C4" s="3">
        <v>45566</v>
      </c>
      <c r="D4" s="10">
        <f>G8*G4</f>
        <v>2740</v>
      </c>
      <c r="E4" t="s">
        <v>16</v>
      </c>
      <c r="F4" t="s">
        <v>13</v>
      </c>
      <c r="G4" s="7">
        <v>200000</v>
      </c>
      <c r="I4">
        <v>1</v>
      </c>
      <c r="J4" s="2">
        <v>2.5499999999999998E-2</v>
      </c>
      <c r="K4" s="9">
        <f>G6*I4*J4</f>
        <v>3671.9999999999995</v>
      </c>
    </row>
    <row r="5" spans="1:11" x14ac:dyDescent="0.25">
      <c r="A5" s="5">
        <f>SUM($D$3:D5)</f>
        <v>-53260.000000000007</v>
      </c>
      <c r="B5" s="2"/>
      <c r="F5" t="s">
        <v>20</v>
      </c>
      <c r="G5" s="28">
        <v>0.02</v>
      </c>
      <c r="K5">
        <f>G6*(I3*J3+I4*J4)</f>
        <v>5321.9999999999991</v>
      </c>
    </row>
    <row r="6" spans="1:11" x14ac:dyDescent="0.25">
      <c r="A6" s="5">
        <f>SUM($D$3:D6)</f>
        <v>-61462.000000000007</v>
      </c>
      <c r="B6" s="2"/>
      <c r="C6" s="3">
        <v>45962</v>
      </c>
      <c r="D6">
        <f>-(5322+G6*G5)</f>
        <v>-8202</v>
      </c>
      <c r="E6" t="s">
        <v>15</v>
      </c>
      <c r="F6" t="s">
        <v>21</v>
      </c>
      <c r="G6" s="7">
        <f>G4+D3</f>
        <v>144000</v>
      </c>
      <c r="I6">
        <v>1</v>
      </c>
      <c r="J6" s="11">
        <v>0.02</v>
      </c>
      <c r="K6" s="9">
        <f>G6*I6*J6</f>
        <v>2880</v>
      </c>
    </row>
    <row r="7" spans="1:11" x14ac:dyDescent="0.25">
      <c r="A7" s="5">
        <f>SUM($D$3:D7)</f>
        <v>-61462.000000000007</v>
      </c>
      <c r="B7" s="2"/>
      <c r="F7" t="s">
        <v>19</v>
      </c>
      <c r="G7" s="2">
        <v>1.4999999999999999E-2</v>
      </c>
    </row>
    <row r="8" spans="1:11" x14ac:dyDescent="0.25">
      <c r="A8" s="5">
        <f>SUM($D$3:D8)</f>
        <v>-61462.000000000007</v>
      </c>
      <c r="B8" s="2"/>
      <c r="F8" t="s">
        <v>22</v>
      </c>
      <c r="G8" s="2">
        <v>1.37E-2</v>
      </c>
    </row>
    <row r="9" spans="1:11" x14ac:dyDescent="0.25">
      <c r="A9" s="5">
        <f>SUM($D$3:D9)</f>
        <v>-55042.000000000007</v>
      </c>
      <c r="B9" s="2"/>
      <c r="C9" s="3">
        <v>46419</v>
      </c>
      <c r="D9">
        <f>3.21%*$G$4</f>
        <v>6419.9999999999991</v>
      </c>
      <c r="E9" t="s">
        <v>14</v>
      </c>
      <c r="F9" s="6"/>
      <c r="G9" s="6"/>
    </row>
    <row r="10" spans="1:11" x14ac:dyDescent="0.25">
      <c r="A10" s="5">
        <f>SUM($D$3:D10)</f>
        <v>-55042.000000000007</v>
      </c>
      <c r="B10" s="2"/>
      <c r="C10" s="3">
        <v>46419</v>
      </c>
      <c r="D10" s="5">
        <f>-$D$3*0</f>
        <v>0</v>
      </c>
      <c r="E10" s="6" t="s">
        <v>18</v>
      </c>
    </row>
    <row r="11" spans="1:11" x14ac:dyDescent="0.25">
      <c r="A11" s="5">
        <f>SUM($D$3:D11)</f>
        <v>-50782.000000000007</v>
      </c>
      <c r="B11" s="2"/>
      <c r="C11" s="3">
        <v>46784</v>
      </c>
      <c r="D11" s="9">
        <f>3.21%*$G$4-$G$7*$G$6</f>
        <v>4259.9999999999991</v>
      </c>
      <c r="F11" s="8"/>
      <c r="G11" s="8"/>
      <c r="H11" s="8"/>
      <c r="I11" s="8"/>
    </row>
    <row r="12" spans="1:11" x14ac:dyDescent="0.25">
      <c r="A12" s="5">
        <f>SUM($D$3:D12)</f>
        <v>-46522.000000000007</v>
      </c>
      <c r="B12" s="2"/>
      <c r="C12" s="3">
        <v>47150</v>
      </c>
      <c r="D12">
        <f t="shared" ref="D12:D27" si="0">3.21%*$G$4-$G$7*$G$6</f>
        <v>4259.9999999999991</v>
      </c>
      <c r="F12" s="8"/>
      <c r="G12" s="8"/>
      <c r="H12" s="8"/>
      <c r="I12" s="8"/>
    </row>
    <row r="13" spans="1:11" x14ac:dyDescent="0.25">
      <c r="A13" s="5">
        <f>SUM($D$3:D13)</f>
        <v>-42262.000000000007</v>
      </c>
      <c r="B13" s="2"/>
      <c r="C13" s="3">
        <v>47515</v>
      </c>
      <c r="D13">
        <f t="shared" si="0"/>
        <v>4259.9999999999991</v>
      </c>
      <c r="F13" s="8"/>
      <c r="G13" s="8"/>
      <c r="H13" s="8"/>
      <c r="I13" s="8"/>
    </row>
    <row r="14" spans="1:11" x14ac:dyDescent="0.25">
      <c r="A14" s="5">
        <f>SUM($D$3:D14)</f>
        <v>-38002.000000000007</v>
      </c>
      <c r="B14" s="2"/>
      <c r="C14" s="3">
        <v>47880</v>
      </c>
      <c r="D14">
        <f t="shared" si="0"/>
        <v>4259.9999999999991</v>
      </c>
    </row>
    <row r="15" spans="1:11" x14ac:dyDescent="0.25">
      <c r="A15" s="5">
        <f>SUM($D$3:D15)</f>
        <v>-33742.000000000007</v>
      </c>
      <c r="B15" s="2"/>
      <c r="C15" s="3">
        <v>48245</v>
      </c>
      <c r="D15">
        <f t="shared" si="0"/>
        <v>4259.9999999999991</v>
      </c>
    </row>
    <row r="16" spans="1:11" x14ac:dyDescent="0.25">
      <c r="A16" s="5">
        <f>SUM($D$3:D16)</f>
        <v>-29482.000000000007</v>
      </c>
      <c r="B16" s="2"/>
      <c r="C16" s="3">
        <v>48611</v>
      </c>
      <c r="D16">
        <f t="shared" si="0"/>
        <v>4259.9999999999991</v>
      </c>
    </row>
    <row r="17" spans="1:7" x14ac:dyDescent="0.25">
      <c r="A17" s="5">
        <f>SUM($D$3:D17)</f>
        <v>-25222.000000000007</v>
      </c>
      <c r="B17" s="2"/>
      <c r="C17" s="3">
        <v>48976</v>
      </c>
      <c r="D17">
        <f t="shared" si="0"/>
        <v>4259.9999999999991</v>
      </c>
    </row>
    <row r="18" spans="1:7" x14ac:dyDescent="0.25">
      <c r="A18" s="5">
        <f>SUM($D$3:D18)</f>
        <v>-20962.000000000007</v>
      </c>
      <c r="B18" s="2"/>
      <c r="C18" s="3">
        <v>49341</v>
      </c>
      <c r="D18">
        <f t="shared" si="0"/>
        <v>4259.9999999999991</v>
      </c>
    </row>
    <row r="19" spans="1:7" x14ac:dyDescent="0.25">
      <c r="A19" s="5">
        <f>SUM($D$3:D19)</f>
        <v>-16702.000000000007</v>
      </c>
      <c r="B19" s="2"/>
      <c r="C19" s="3">
        <v>49706</v>
      </c>
      <c r="D19">
        <f t="shared" si="0"/>
        <v>4259.9999999999991</v>
      </c>
    </row>
    <row r="20" spans="1:7" x14ac:dyDescent="0.25">
      <c r="A20" s="5">
        <f>SUM($D$3:D20)</f>
        <v>-12442.000000000007</v>
      </c>
      <c r="B20" s="2"/>
      <c r="C20" s="3">
        <v>50072</v>
      </c>
      <c r="D20">
        <f t="shared" si="0"/>
        <v>4259.9999999999991</v>
      </c>
    </row>
    <row r="21" spans="1:7" x14ac:dyDescent="0.25">
      <c r="A21" s="5">
        <f>SUM($D$3:D21)</f>
        <v>-8182.0000000000082</v>
      </c>
      <c r="B21" s="2"/>
      <c r="C21" s="3">
        <v>50437</v>
      </c>
      <c r="D21">
        <f t="shared" si="0"/>
        <v>4259.9999999999991</v>
      </c>
    </row>
    <row r="22" spans="1:7" x14ac:dyDescent="0.25">
      <c r="A22" s="5">
        <f>SUM($D$3:D22)</f>
        <v>-3922.0000000000091</v>
      </c>
      <c r="B22" s="2"/>
      <c r="C22" s="3">
        <v>50802</v>
      </c>
      <c r="D22">
        <f t="shared" si="0"/>
        <v>4259.9999999999991</v>
      </c>
    </row>
    <row r="23" spans="1:7" x14ac:dyDescent="0.25">
      <c r="A23" s="5">
        <f>SUM($D$3:D23)</f>
        <v>337.99999999999</v>
      </c>
      <c r="B23" s="2"/>
      <c r="C23" s="3">
        <v>51167</v>
      </c>
      <c r="D23">
        <f t="shared" si="0"/>
        <v>4259.9999999999991</v>
      </c>
    </row>
    <row r="24" spans="1:7" x14ac:dyDescent="0.25">
      <c r="A24" s="5">
        <f>SUM($D$3:D24)</f>
        <v>4597.9999999999891</v>
      </c>
      <c r="B24" s="2"/>
      <c r="C24" s="3">
        <v>51533</v>
      </c>
      <c r="D24">
        <f t="shared" si="0"/>
        <v>4259.9999999999991</v>
      </c>
    </row>
    <row r="25" spans="1:7" x14ac:dyDescent="0.25">
      <c r="A25" s="5">
        <f>SUM($D$3:D25)</f>
        <v>8857.9999999999891</v>
      </c>
      <c r="B25" s="2"/>
      <c r="C25" s="3">
        <v>51898</v>
      </c>
      <c r="D25">
        <f t="shared" si="0"/>
        <v>4259.9999999999991</v>
      </c>
    </row>
    <row r="26" spans="1:7" x14ac:dyDescent="0.25">
      <c r="A26" s="5">
        <f>SUM($D$3:D26)</f>
        <v>13117.999999999989</v>
      </c>
      <c r="B26" s="2"/>
      <c r="C26" s="3">
        <v>52263</v>
      </c>
      <c r="D26">
        <f t="shared" si="0"/>
        <v>4259.9999999999991</v>
      </c>
    </row>
    <row r="27" spans="1:7" x14ac:dyDescent="0.25">
      <c r="A27" s="5">
        <f>SUM($D$3:D27)</f>
        <v>17377.999999999989</v>
      </c>
      <c r="B27" s="2"/>
      <c r="C27" s="3">
        <v>52628</v>
      </c>
      <c r="D27">
        <f t="shared" si="0"/>
        <v>4259.9999999999991</v>
      </c>
      <c r="F27" s="6"/>
      <c r="G27" s="6"/>
    </row>
    <row r="28" spans="1:7" x14ac:dyDescent="0.25">
      <c r="A28" s="5">
        <f>SUM($D$3:D28)</f>
        <v>73378</v>
      </c>
      <c r="B28" s="2">
        <f>XIRR(D3:D28,C3:C28)</f>
        <v>6.1669102311134344E-2</v>
      </c>
      <c r="C28" s="3">
        <v>52628</v>
      </c>
      <c r="D28" s="5">
        <f>-$D$3</f>
        <v>56000.000000000007</v>
      </c>
      <c r="E28" s="6" t="s">
        <v>18</v>
      </c>
    </row>
    <row r="29" spans="1:7" x14ac:dyDescent="0.25">
      <c r="A29" s="5"/>
      <c r="B29" s="2"/>
    </row>
    <row r="30" spans="1:7" x14ac:dyDescent="0.25">
      <c r="A30" s="5"/>
      <c r="B30" s="2"/>
    </row>
    <row r="31" spans="1:7" x14ac:dyDescent="0.25">
      <c r="A31" s="5"/>
      <c r="B3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DED-8F26-4A65-8C24-604F3A0DE6B0}">
  <dimension ref="A2:L31"/>
  <sheetViews>
    <sheetView tabSelected="1" workbookViewId="0">
      <selection activeCell="G32" sqref="G32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.42578125" style="3" bestFit="1" customWidth="1"/>
    <col min="4" max="4" width="10.85546875" bestFit="1" customWidth="1"/>
    <col min="5" max="5" width="18.28515625" customWidth="1"/>
    <col min="6" max="6" width="17.85546875" bestFit="1" customWidth="1"/>
    <col min="10" max="10" width="6.5703125" style="20" bestFit="1" customWidth="1"/>
    <col min="11" max="11" width="7.140625" bestFit="1" customWidth="1"/>
  </cols>
  <sheetData>
    <row r="2" spans="1:12" x14ac:dyDescent="0.25">
      <c r="C2" s="15"/>
      <c r="D2" s="12" t="s">
        <v>2</v>
      </c>
      <c r="F2" s="12" t="s">
        <v>59</v>
      </c>
      <c r="G2" s="52">
        <v>300000</v>
      </c>
    </row>
    <row r="3" spans="1:12" x14ac:dyDescent="0.25">
      <c r="A3" s="5"/>
      <c r="B3" s="2"/>
      <c r="C3" s="13">
        <v>45597</v>
      </c>
      <c r="D3" s="14">
        <f>-24%*G2</f>
        <v>-72000</v>
      </c>
      <c r="E3" t="s">
        <v>88</v>
      </c>
      <c r="F3" s="12" t="s">
        <v>22</v>
      </c>
      <c r="G3" s="56">
        <v>1.8700000000000001E-2</v>
      </c>
    </row>
    <row r="4" spans="1:12" x14ac:dyDescent="0.25">
      <c r="A4" s="5"/>
      <c r="B4" s="2"/>
      <c r="C4" s="13">
        <v>45689</v>
      </c>
      <c r="D4" s="14">
        <f>G3*G2</f>
        <v>5610</v>
      </c>
      <c r="E4" t="s">
        <v>56</v>
      </c>
      <c r="F4" s="43" t="s">
        <v>71</v>
      </c>
      <c r="G4" s="55">
        <v>3.3799999999999997E-2</v>
      </c>
      <c r="H4" t="s">
        <v>82</v>
      </c>
    </row>
    <row r="5" spans="1:12" x14ac:dyDescent="0.25">
      <c r="A5" s="5"/>
      <c r="B5" s="2"/>
      <c r="C5" s="13"/>
      <c r="D5" s="14"/>
      <c r="F5" s="12" t="s">
        <v>78</v>
      </c>
      <c r="G5" s="16">
        <v>0.03</v>
      </c>
    </row>
    <row r="6" spans="1:12" x14ac:dyDescent="0.25">
      <c r="A6" s="5"/>
      <c r="B6" s="2"/>
      <c r="C6" s="13">
        <v>46174</v>
      </c>
      <c r="D6" s="14">
        <f>-J10</f>
        <v>-17618.7</v>
      </c>
      <c r="E6" t="s">
        <v>58</v>
      </c>
      <c r="F6" s="12" t="s">
        <v>21</v>
      </c>
      <c r="G6" s="52">
        <f>G2+D3</f>
        <v>228000</v>
      </c>
    </row>
    <row r="7" spans="1:12" x14ac:dyDescent="0.25">
      <c r="A7" s="31" t="s">
        <v>66</v>
      </c>
      <c r="B7" s="46" t="s">
        <v>65</v>
      </c>
      <c r="C7" s="13"/>
      <c r="D7" s="14"/>
      <c r="F7" s="12" t="s">
        <v>19</v>
      </c>
      <c r="G7" s="16">
        <v>0.02</v>
      </c>
      <c r="I7">
        <v>0.75</v>
      </c>
      <c r="J7" s="5">
        <f>$G$6*I7*K7</f>
        <v>4326.3</v>
      </c>
      <c r="K7" s="2">
        <v>2.53E-2</v>
      </c>
    </row>
    <row r="8" spans="1:12" x14ac:dyDescent="0.25">
      <c r="A8" s="5">
        <f>SUM($D$3:D8)</f>
        <v>-73868.7</v>
      </c>
      <c r="B8" s="5">
        <f>A8-D3</f>
        <v>-1868.6999999999971</v>
      </c>
      <c r="C8" s="13">
        <v>46692</v>
      </c>
      <c r="D8" s="14">
        <f>G4*$G$2</f>
        <v>10139.999999999998</v>
      </c>
      <c r="E8" t="s">
        <v>57</v>
      </c>
      <c r="F8" s="17"/>
      <c r="G8" s="17"/>
      <c r="I8">
        <v>1</v>
      </c>
      <c r="J8" s="5">
        <f>$G$6*I8*K8</f>
        <v>5312.4000000000005</v>
      </c>
      <c r="K8" s="2">
        <v>2.3300000000000001E-2</v>
      </c>
    </row>
    <row r="9" spans="1:12" x14ac:dyDescent="0.25">
      <c r="A9" s="5"/>
      <c r="B9" t="s">
        <v>87</v>
      </c>
      <c r="C9" s="13"/>
      <c r="D9" s="14"/>
      <c r="E9" s="6"/>
      <c r="I9">
        <f>14/12</f>
        <v>1.1666666666666667</v>
      </c>
      <c r="J9" s="5">
        <f>$G$6*I9*K9</f>
        <v>7980</v>
      </c>
      <c r="K9" s="2">
        <f>G5</f>
        <v>0.03</v>
      </c>
      <c r="L9" t="s">
        <v>86</v>
      </c>
    </row>
    <row r="10" spans="1:12" s="57" customFormat="1" x14ac:dyDescent="0.25">
      <c r="A10" s="31" t="s">
        <v>66</v>
      </c>
      <c r="C10" s="13"/>
      <c r="D10" s="14"/>
      <c r="E10" s="6"/>
      <c r="I10"/>
      <c r="J10" s="5">
        <f>SUM(J7:J9)</f>
        <v>17618.7</v>
      </c>
      <c r="K10" s="11"/>
      <c r="L10"/>
    </row>
    <row r="11" spans="1:12" x14ac:dyDescent="0.25">
      <c r="A11" s="5">
        <f>SUM($D$3:D11)</f>
        <v>-68288.7</v>
      </c>
      <c r="B11" s="2"/>
      <c r="C11" s="13">
        <v>47058</v>
      </c>
      <c r="D11" s="14">
        <f>$G$4*$G$2-$G$7*$G$6</f>
        <v>5579.9999999999982</v>
      </c>
      <c r="E11" t="s">
        <v>80</v>
      </c>
    </row>
    <row r="12" spans="1:12" x14ac:dyDescent="0.25">
      <c r="A12" s="5">
        <f>SUM($D$3:D12)</f>
        <v>-62708.7</v>
      </c>
      <c r="B12" s="2"/>
      <c r="C12" s="13">
        <v>47423</v>
      </c>
      <c r="D12" s="14">
        <f>$G$4*$G$2-$G$7*$G$6</f>
        <v>5579.9999999999982</v>
      </c>
      <c r="F12" s="8"/>
      <c r="G12" s="8"/>
      <c r="H12" s="8"/>
      <c r="I12" s="8"/>
    </row>
    <row r="13" spans="1:12" x14ac:dyDescent="0.25">
      <c r="A13" s="5">
        <f>SUM($D$3:D13)</f>
        <v>-57128.7</v>
      </c>
      <c r="B13" s="2"/>
      <c r="C13" s="13">
        <v>47788</v>
      </c>
      <c r="D13" s="14">
        <f>$G$4*$G$2-$G$7*$G$6</f>
        <v>5579.9999999999982</v>
      </c>
      <c r="F13" s="8"/>
      <c r="G13" s="8"/>
      <c r="H13" s="8"/>
      <c r="I13" s="8"/>
    </row>
    <row r="14" spans="1:12" x14ac:dyDescent="0.25">
      <c r="A14" s="5">
        <f>SUM($D$3:D14)</f>
        <v>-51548.7</v>
      </c>
      <c r="B14" s="8" t="s">
        <v>60</v>
      </c>
      <c r="C14" s="13">
        <v>48153</v>
      </c>
      <c r="D14" s="14">
        <f>$G$4*$G$2-$G$7*$G$6</f>
        <v>5579.9999999999982</v>
      </c>
    </row>
    <row r="15" spans="1:12" x14ac:dyDescent="0.25">
      <c r="A15" s="5">
        <f>SUM($D$3:D15)</f>
        <v>-45968.7</v>
      </c>
      <c r="B15" s="30">
        <f>-D15/D3</f>
        <v>7.7499999999999972E-2</v>
      </c>
      <c r="C15" s="13">
        <v>48519</v>
      </c>
      <c r="D15" s="14">
        <f>$G$4*$G$2-$G$7*$G$6</f>
        <v>5579.9999999999982</v>
      </c>
    </row>
    <row r="16" spans="1:12" x14ac:dyDescent="0.25">
      <c r="A16" s="5">
        <f>SUM($D$3:D16)</f>
        <v>-40388.699999999997</v>
      </c>
      <c r="B16" s="2"/>
      <c r="C16" s="13">
        <v>48884</v>
      </c>
      <c r="D16" s="14">
        <f>$G$4*$G$2-$G$7*$G$6</f>
        <v>5579.9999999999982</v>
      </c>
    </row>
    <row r="17" spans="1:7" x14ac:dyDescent="0.25">
      <c r="A17" s="5">
        <f>SUM($D$3:D17)</f>
        <v>-34808.699999999997</v>
      </c>
      <c r="B17" s="2"/>
      <c r="C17" s="13">
        <v>49249</v>
      </c>
      <c r="D17" s="14">
        <f>$G$4*$G$2-$G$7*$G$6</f>
        <v>5579.9999999999982</v>
      </c>
    </row>
    <row r="18" spans="1:7" x14ac:dyDescent="0.25">
      <c r="A18" s="5">
        <f>SUM($D$3:D18)</f>
        <v>-29228.699999999997</v>
      </c>
      <c r="B18" s="2"/>
      <c r="C18" s="13">
        <v>49614</v>
      </c>
      <c r="D18" s="14">
        <f>$G$4*$G$2-$G$7*$G$6</f>
        <v>5579.9999999999982</v>
      </c>
    </row>
    <row r="19" spans="1:7" x14ac:dyDescent="0.25">
      <c r="A19" s="5">
        <f>SUM($D$3:D19)</f>
        <v>-23648.699999999997</v>
      </c>
      <c r="B19" s="2"/>
      <c r="C19" s="13">
        <v>49980</v>
      </c>
      <c r="D19" s="14">
        <f>$G$4*$G$2-$G$7*$G$6</f>
        <v>5579.9999999999982</v>
      </c>
    </row>
    <row r="20" spans="1:7" x14ac:dyDescent="0.25">
      <c r="A20" s="5">
        <f>SUM($D$3:D20)</f>
        <v>-18068.699999999997</v>
      </c>
      <c r="B20" s="2"/>
      <c r="C20" s="13">
        <v>50345</v>
      </c>
      <c r="D20" s="14">
        <f>$G$4*$G$2-$G$7*$G$6</f>
        <v>5579.9999999999982</v>
      </c>
    </row>
    <row r="21" spans="1:7" x14ac:dyDescent="0.25">
      <c r="A21" s="5">
        <f>SUM($D$3:D21)</f>
        <v>-12488.699999999999</v>
      </c>
      <c r="B21" s="2"/>
      <c r="C21" s="13">
        <v>50710</v>
      </c>
      <c r="D21" s="14">
        <f>$G$4*$G$2-$G$7*$G$6</f>
        <v>5579.9999999999982</v>
      </c>
    </row>
    <row r="22" spans="1:7" x14ac:dyDescent="0.25">
      <c r="A22" s="5">
        <f>SUM($D$3:D22)</f>
        <v>-6908.7000000000007</v>
      </c>
      <c r="B22" s="2"/>
      <c r="C22" s="13">
        <v>51075</v>
      </c>
      <c r="D22" s="14">
        <f>$G$4*$G$2-$G$7*$G$6</f>
        <v>5579.9999999999982</v>
      </c>
    </row>
    <row r="23" spans="1:7" x14ac:dyDescent="0.25">
      <c r="A23" s="5">
        <f>SUM($D$3:D23)</f>
        <v>-1328.7000000000025</v>
      </c>
      <c r="B23" s="2"/>
      <c r="C23" s="13">
        <v>51441</v>
      </c>
      <c r="D23" s="14">
        <f>$G$4*$G$2-$G$7*$G$6</f>
        <v>5579.9999999999982</v>
      </c>
    </row>
    <row r="24" spans="1:7" x14ac:dyDescent="0.25">
      <c r="A24" s="5">
        <f>SUM($D$3:D24)</f>
        <v>4251.2999999999956</v>
      </c>
      <c r="B24" s="2"/>
      <c r="C24" s="13">
        <v>51806</v>
      </c>
      <c r="D24" s="14">
        <f>$G$4*$G$2-$G$7*$G$6</f>
        <v>5579.9999999999982</v>
      </c>
    </row>
    <row r="25" spans="1:7" x14ac:dyDescent="0.25">
      <c r="A25" s="5">
        <f>SUM($D$3:D25)</f>
        <v>9831.2999999999938</v>
      </c>
      <c r="B25" s="2"/>
      <c r="C25" s="13">
        <v>52171</v>
      </c>
      <c r="D25" s="14">
        <f>$G$4*$G$2-$G$7*$G$6</f>
        <v>5579.9999999999982</v>
      </c>
    </row>
    <row r="26" spans="1:7" x14ac:dyDescent="0.25">
      <c r="A26" s="5">
        <f>SUM($D$3:D26)</f>
        <v>15411.299999999992</v>
      </c>
      <c r="B26" s="2"/>
      <c r="C26" s="13">
        <v>52536</v>
      </c>
      <c r="D26" s="14">
        <f>$G$4*$G$2-$G$7*$G$6</f>
        <v>5579.9999999999982</v>
      </c>
    </row>
    <row r="27" spans="1:7" x14ac:dyDescent="0.25">
      <c r="A27" s="5">
        <f>SUM($D$3:D27)</f>
        <v>20991.299999999988</v>
      </c>
      <c r="B27" s="2" t="s">
        <v>61</v>
      </c>
      <c r="C27" s="13">
        <v>52902</v>
      </c>
      <c r="D27" s="14">
        <f>$G$4*$G$2-$G$7*$G$6</f>
        <v>5579.9999999999982</v>
      </c>
    </row>
    <row r="28" spans="1:7" x14ac:dyDescent="0.25">
      <c r="A28" s="5">
        <f>SUM($D$3:D28)</f>
        <v>92991.299999999988</v>
      </c>
      <c r="B28" s="2">
        <f>XIRR(D3:D28,C3:C28)</f>
        <v>5.5980500578880307E-2</v>
      </c>
      <c r="C28" s="13">
        <v>53267</v>
      </c>
      <c r="D28" s="14">
        <f>-D3</f>
        <v>72000</v>
      </c>
      <c r="E28" s="6" t="s">
        <v>83</v>
      </c>
      <c r="F28" s="6"/>
      <c r="G28" s="6"/>
    </row>
    <row r="29" spans="1:7" x14ac:dyDescent="0.25">
      <c r="A29" s="5"/>
      <c r="B29" s="2"/>
    </row>
    <row r="31" spans="1:7" x14ac:dyDescent="0.25">
      <c r="A31" s="5"/>
      <c r="B31" s="2"/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850-337E-4794-9D5F-A7B4C9250F19}">
  <dimension ref="A2:L31"/>
  <sheetViews>
    <sheetView workbookViewId="0">
      <selection activeCell="G7" sqref="G7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.42578125" style="3" bestFit="1" customWidth="1"/>
    <col min="4" max="4" width="10.85546875" bestFit="1" customWidth="1"/>
    <col min="5" max="5" width="17.140625" customWidth="1"/>
    <col min="6" max="6" width="16.140625" bestFit="1" customWidth="1"/>
    <col min="10" max="10" width="7.140625" bestFit="1" customWidth="1"/>
    <col min="11" max="11" width="6" style="20" bestFit="1" customWidth="1"/>
  </cols>
  <sheetData>
    <row r="2" spans="1:12" x14ac:dyDescent="0.25">
      <c r="C2" s="15"/>
      <c r="D2" s="12" t="s">
        <v>2</v>
      </c>
    </row>
    <row r="3" spans="1:12" x14ac:dyDescent="0.25">
      <c r="A3" s="5"/>
      <c r="B3" s="2"/>
      <c r="C3" s="13">
        <v>45597</v>
      </c>
      <c r="D3" s="14">
        <v>-77000</v>
      </c>
      <c r="E3" t="s">
        <v>55</v>
      </c>
      <c r="F3" s="12" t="s">
        <v>59</v>
      </c>
      <c r="G3" s="52">
        <v>317000</v>
      </c>
      <c r="I3">
        <v>0.75</v>
      </c>
      <c r="J3" s="2">
        <v>2.53E-2</v>
      </c>
      <c r="K3" s="20">
        <f>$G$5*I3*J3</f>
        <v>4554</v>
      </c>
    </row>
    <row r="4" spans="1:12" x14ac:dyDescent="0.25">
      <c r="A4" s="5"/>
      <c r="B4" s="2"/>
      <c r="C4" s="13">
        <v>45689</v>
      </c>
      <c r="D4" s="53">
        <f>G7*G3</f>
        <v>5927.9000000000005</v>
      </c>
      <c r="E4" t="s">
        <v>56</v>
      </c>
      <c r="F4" s="12" t="s">
        <v>78</v>
      </c>
      <c r="G4" s="16">
        <v>0.03</v>
      </c>
      <c r="I4">
        <v>1</v>
      </c>
      <c r="J4" s="2">
        <v>2.3300000000000001E-2</v>
      </c>
      <c r="K4" s="20">
        <f>$G$5*I4*J4</f>
        <v>5592</v>
      </c>
    </row>
    <row r="5" spans="1:12" x14ac:dyDescent="0.25">
      <c r="A5" s="5"/>
      <c r="B5" s="2"/>
      <c r="C5" s="13"/>
      <c r="D5" s="12"/>
      <c r="F5" s="12" t="s">
        <v>21</v>
      </c>
      <c r="G5" s="52">
        <f>G3+D3</f>
        <v>240000</v>
      </c>
      <c r="I5">
        <f>14/12</f>
        <v>1.1666666666666667</v>
      </c>
      <c r="J5" s="2">
        <f>G4</f>
        <v>0.03</v>
      </c>
      <c r="K5" s="20">
        <f>$G$5*I5*J5</f>
        <v>8400</v>
      </c>
      <c r="L5" t="s">
        <v>79</v>
      </c>
    </row>
    <row r="6" spans="1:12" x14ac:dyDescent="0.25">
      <c r="A6" s="5"/>
      <c r="B6" s="2"/>
      <c r="C6" s="13">
        <v>46174</v>
      </c>
      <c r="D6" s="54">
        <f>-K6</f>
        <v>-18546</v>
      </c>
      <c r="E6" t="s">
        <v>58</v>
      </c>
      <c r="F6" s="12" t="s">
        <v>19</v>
      </c>
      <c r="G6" s="16">
        <v>0.02</v>
      </c>
      <c r="J6" s="11"/>
      <c r="K6" s="20">
        <f>SUM(K3:K5)</f>
        <v>18546</v>
      </c>
    </row>
    <row r="7" spans="1:12" x14ac:dyDescent="0.25">
      <c r="A7" s="58" t="s">
        <v>68</v>
      </c>
      <c r="B7" s="59"/>
      <c r="C7" s="13"/>
      <c r="D7" s="12"/>
      <c r="F7" s="12" t="s">
        <v>22</v>
      </c>
      <c r="G7" s="16">
        <v>1.8700000000000001E-2</v>
      </c>
    </row>
    <row r="8" spans="1:12" x14ac:dyDescent="0.25">
      <c r="A8" s="31" t="s">
        <v>66</v>
      </c>
      <c r="B8" s="46" t="s">
        <v>65</v>
      </c>
      <c r="C8" s="13">
        <v>46692</v>
      </c>
      <c r="D8" s="54">
        <f>3.38%*$G$3</f>
        <v>10714.599999999999</v>
      </c>
      <c r="E8" t="s">
        <v>57</v>
      </c>
      <c r="F8" s="17"/>
      <c r="G8" s="17"/>
    </row>
    <row r="9" spans="1:12" x14ac:dyDescent="0.25">
      <c r="A9" s="5">
        <f>SUM($D$3:D9)</f>
        <v>-78903.5</v>
      </c>
      <c r="B9" s="5">
        <f>A9-D3</f>
        <v>-1903.5</v>
      </c>
      <c r="C9" s="13">
        <v>46692</v>
      </c>
      <c r="D9" s="54">
        <f>-$D$3*0</f>
        <v>0</v>
      </c>
      <c r="E9" s="6" t="s">
        <v>81</v>
      </c>
    </row>
    <row r="10" spans="1:12" x14ac:dyDescent="0.25">
      <c r="A10" s="5"/>
      <c r="C10" s="13"/>
      <c r="D10" s="54"/>
      <c r="E10" s="6"/>
    </row>
    <row r="11" spans="1:12" x14ac:dyDescent="0.25">
      <c r="A11" s="5">
        <f>SUM($D$3:D11)</f>
        <v>-72988.899999999994</v>
      </c>
      <c r="B11" s="2"/>
      <c r="C11" s="13">
        <v>47058</v>
      </c>
      <c r="D11" s="54">
        <f>3.38%*$G$3-$G$6*$G$5</f>
        <v>5914.5999999999985</v>
      </c>
      <c r="E11" t="s">
        <v>80</v>
      </c>
      <c r="F11" s="8"/>
      <c r="G11" s="8"/>
    </row>
    <row r="12" spans="1:12" x14ac:dyDescent="0.25">
      <c r="A12" s="5">
        <f>SUM($D$3:D12)</f>
        <v>-67074.299999999988</v>
      </c>
      <c r="B12" s="2"/>
      <c r="C12" s="13">
        <v>47423</v>
      </c>
      <c r="D12" s="54">
        <f t="shared" ref="D12:D27" si="0">3.38%*$G$3-$G$6*$G$5</f>
        <v>5914.5999999999985</v>
      </c>
      <c r="F12" s="8"/>
      <c r="G12" s="8"/>
      <c r="H12" s="8"/>
      <c r="I12" s="8"/>
    </row>
    <row r="13" spans="1:12" x14ac:dyDescent="0.25">
      <c r="A13" s="5">
        <f>SUM($D$3:D13)</f>
        <v>-61159.69999999999</v>
      </c>
      <c r="B13" s="2"/>
      <c r="C13" s="13">
        <v>47788</v>
      </c>
      <c r="D13" s="54">
        <f t="shared" si="0"/>
        <v>5914.5999999999985</v>
      </c>
      <c r="H13" s="8"/>
      <c r="I13" s="8"/>
    </row>
    <row r="14" spans="1:12" x14ac:dyDescent="0.25">
      <c r="A14" s="5">
        <f>SUM($D$3:D14)</f>
        <v>-55245.099999999991</v>
      </c>
      <c r="B14" s="8" t="s">
        <v>60</v>
      </c>
      <c r="C14" s="13">
        <v>48153</v>
      </c>
      <c r="D14" s="54">
        <f t="shared" si="0"/>
        <v>5914.5999999999985</v>
      </c>
      <c r="H14" s="8"/>
      <c r="I14" s="8"/>
    </row>
    <row r="15" spans="1:12" x14ac:dyDescent="0.25">
      <c r="A15" s="5">
        <f>SUM($D$3:D15)</f>
        <v>-49330.499999999993</v>
      </c>
      <c r="B15" s="30">
        <f>-D15/D3</f>
        <v>7.6812987012987E-2</v>
      </c>
      <c r="C15" s="13">
        <v>48519</v>
      </c>
      <c r="D15" s="54">
        <f t="shared" si="0"/>
        <v>5914.5999999999985</v>
      </c>
    </row>
    <row r="16" spans="1:12" x14ac:dyDescent="0.25">
      <c r="A16" s="5">
        <f>SUM($D$3:D16)</f>
        <v>-43415.899999999994</v>
      </c>
      <c r="B16" s="2"/>
      <c r="C16" s="13">
        <v>48884</v>
      </c>
      <c r="D16" s="54">
        <f t="shared" si="0"/>
        <v>5914.5999999999985</v>
      </c>
    </row>
    <row r="17" spans="1:7" x14ac:dyDescent="0.25">
      <c r="A17" s="5">
        <f>SUM($D$3:D17)</f>
        <v>-37501.299999999996</v>
      </c>
      <c r="B17" s="2"/>
      <c r="C17" s="13">
        <v>49249</v>
      </c>
      <c r="D17" s="54">
        <f t="shared" si="0"/>
        <v>5914.5999999999985</v>
      </c>
    </row>
    <row r="18" spans="1:7" x14ac:dyDescent="0.25">
      <c r="A18" s="5">
        <f>SUM($D$3:D18)</f>
        <v>-31586.699999999997</v>
      </c>
      <c r="B18" s="2"/>
      <c r="C18" s="13">
        <v>49614</v>
      </c>
      <c r="D18" s="54">
        <f t="shared" si="0"/>
        <v>5914.5999999999985</v>
      </c>
    </row>
    <row r="19" spans="1:7" x14ac:dyDescent="0.25">
      <c r="A19" s="5">
        <f>SUM($D$3:D19)</f>
        <v>-25672.1</v>
      </c>
      <c r="B19" s="2"/>
      <c r="C19" s="13">
        <v>49980</v>
      </c>
      <c r="D19" s="54">
        <f t="shared" si="0"/>
        <v>5914.5999999999985</v>
      </c>
    </row>
    <row r="20" spans="1:7" x14ac:dyDescent="0.25">
      <c r="A20" s="5">
        <f>SUM($D$3:D20)</f>
        <v>-19757.5</v>
      </c>
      <c r="B20" s="2"/>
      <c r="C20" s="13">
        <v>50345</v>
      </c>
      <c r="D20" s="54">
        <f t="shared" si="0"/>
        <v>5914.5999999999985</v>
      </c>
    </row>
    <row r="21" spans="1:7" x14ac:dyDescent="0.25">
      <c r="A21" s="5">
        <f>SUM($D$3:D21)</f>
        <v>-13842.900000000001</v>
      </c>
      <c r="B21" s="2"/>
      <c r="C21" s="13">
        <v>50710</v>
      </c>
      <c r="D21" s="54">
        <f t="shared" si="0"/>
        <v>5914.5999999999985</v>
      </c>
    </row>
    <row r="22" spans="1:7" x14ac:dyDescent="0.25">
      <c r="A22" s="5">
        <f>SUM($D$3:D22)</f>
        <v>-7928.3000000000029</v>
      </c>
      <c r="B22" s="2"/>
      <c r="C22" s="13">
        <v>51075</v>
      </c>
      <c r="D22" s="54">
        <f t="shared" si="0"/>
        <v>5914.5999999999985</v>
      </c>
    </row>
    <row r="23" spans="1:7" x14ac:dyDescent="0.25">
      <c r="A23" s="5">
        <f>SUM($D$3:D23)</f>
        <v>-2013.7000000000044</v>
      </c>
      <c r="B23" s="2"/>
      <c r="C23" s="13">
        <v>51441</v>
      </c>
      <c r="D23" s="54">
        <f t="shared" si="0"/>
        <v>5914.5999999999985</v>
      </c>
    </row>
    <row r="24" spans="1:7" x14ac:dyDescent="0.25">
      <c r="A24" s="5">
        <f>SUM($D$3:D24)</f>
        <v>3900.8999999999942</v>
      </c>
      <c r="B24" s="2"/>
      <c r="C24" s="13">
        <v>51806</v>
      </c>
      <c r="D24" s="54">
        <f t="shared" si="0"/>
        <v>5914.5999999999985</v>
      </c>
    </row>
    <row r="25" spans="1:7" x14ac:dyDescent="0.25">
      <c r="A25" s="5">
        <f>SUM($D$3:D25)</f>
        <v>9815.4999999999927</v>
      </c>
      <c r="B25" s="2"/>
      <c r="C25" s="13">
        <v>52171</v>
      </c>
      <c r="D25" s="54">
        <f t="shared" si="0"/>
        <v>5914.5999999999985</v>
      </c>
    </row>
    <row r="26" spans="1:7" x14ac:dyDescent="0.25">
      <c r="A26" s="5">
        <f>SUM($D$3:D26)</f>
        <v>15730.099999999991</v>
      </c>
      <c r="B26" s="2"/>
      <c r="C26" s="13">
        <v>52536</v>
      </c>
      <c r="D26" s="54">
        <f t="shared" si="0"/>
        <v>5914.5999999999985</v>
      </c>
    </row>
    <row r="27" spans="1:7" x14ac:dyDescent="0.25">
      <c r="A27" s="5">
        <f>SUM($D$3:D27)</f>
        <v>21644.69999999999</v>
      </c>
      <c r="B27" s="2" t="s">
        <v>61</v>
      </c>
      <c r="C27" s="13">
        <v>52902</v>
      </c>
      <c r="D27" s="54">
        <f t="shared" si="0"/>
        <v>5914.5999999999985</v>
      </c>
      <c r="F27" s="6"/>
      <c r="G27" s="6"/>
    </row>
    <row r="28" spans="1:7" x14ac:dyDescent="0.25">
      <c r="A28" s="5">
        <f>SUM($D$3:D28)</f>
        <v>98644.699999999983</v>
      </c>
      <c r="B28" s="2">
        <f>XIRR(D3:D28,C3:C28)</f>
        <v>5.5603161454200745E-2</v>
      </c>
      <c r="C28" s="13">
        <v>53267</v>
      </c>
      <c r="D28" s="54">
        <f>-D3</f>
        <v>77000</v>
      </c>
      <c r="E28" s="6" t="str">
        <f>E9</f>
        <v>surrender FWD 317k to wipe out loan</v>
      </c>
    </row>
    <row r="29" spans="1:7" x14ac:dyDescent="0.25">
      <c r="A29" s="5"/>
      <c r="B29" s="2"/>
    </row>
    <row r="31" spans="1:7" x14ac:dyDescent="0.25">
      <c r="A31" s="5"/>
      <c r="B31" s="2"/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748-F112-4127-97BA-6CDBDF125DA1}">
  <dimension ref="B1:K40"/>
  <sheetViews>
    <sheetView topLeftCell="B1" workbookViewId="0">
      <selection activeCell="S27" sqref="S27"/>
    </sheetView>
  </sheetViews>
  <sheetFormatPr defaultRowHeight="15" x14ac:dyDescent="0.25"/>
  <cols>
    <col min="1" max="1" width="1.140625" customWidth="1"/>
    <col min="2" max="2" width="8.28515625" bestFit="1" customWidth="1"/>
    <col min="3" max="3" width="7.42578125" style="4" bestFit="1" customWidth="1"/>
    <col min="4" max="4" width="9.5703125" style="5" bestFit="1" customWidth="1"/>
    <col min="5" max="6" width="7.28515625" style="5" bestFit="1" customWidth="1"/>
    <col min="7" max="7" width="7.5703125" style="5" bestFit="1" customWidth="1"/>
    <col min="8" max="8" width="18.140625" customWidth="1"/>
    <col min="9" max="9" width="1.85546875" customWidth="1"/>
    <col min="10" max="10" width="19.7109375" bestFit="1" customWidth="1"/>
    <col min="11" max="11" width="10" bestFit="1" customWidth="1"/>
  </cols>
  <sheetData>
    <row r="1" spans="2:11" ht="5.25" customHeight="1" x14ac:dyDescent="0.25"/>
    <row r="2" spans="2:11" x14ac:dyDescent="0.25">
      <c r="B2" s="12" t="s">
        <v>34</v>
      </c>
      <c r="C2" s="15"/>
      <c r="D2" s="14" t="s">
        <v>29</v>
      </c>
      <c r="E2" s="14" t="s">
        <v>26</v>
      </c>
      <c r="F2" s="14" t="s">
        <v>27</v>
      </c>
      <c r="G2" s="14" t="s">
        <v>33</v>
      </c>
      <c r="H2" s="12"/>
      <c r="I2" s="8"/>
    </row>
    <row r="3" spans="2:11" x14ac:dyDescent="0.25">
      <c r="B3" s="12"/>
      <c r="C3" s="15">
        <v>45170</v>
      </c>
      <c r="D3" s="14">
        <f>SUM(E3:G3)</f>
        <v>-50065.676666666666</v>
      </c>
      <c r="E3" s="14">
        <f>-K8/3</f>
        <v>-50065.666666666664</v>
      </c>
      <c r="F3" s="14"/>
      <c r="G3" s="14">
        <v>-0.01</v>
      </c>
      <c r="H3" s="12" t="s">
        <v>32</v>
      </c>
      <c r="I3" s="8"/>
    </row>
    <row r="4" spans="2:11" x14ac:dyDescent="0.25">
      <c r="B4" s="14"/>
      <c r="C4" s="15">
        <v>45261</v>
      </c>
      <c r="D4" s="14">
        <f t="shared" ref="D4:D38" si="0">SUM(E4:G4)</f>
        <v>6129</v>
      </c>
      <c r="E4" s="14">
        <v>6129</v>
      </c>
      <c r="F4" s="14"/>
      <c r="G4" s="14"/>
      <c r="H4" s="12" t="s">
        <v>31</v>
      </c>
      <c r="I4" s="8"/>
    </row>
    <row r="5" spans="2:11" x14ac:dyDescent="0.25">
      <c r="B5" s="14"/>
      <c r="C5" s="15">
        <v>45352</v>
      </c>
      <c r="D5" s="14">
        <f t="shared" si="0"/>
        <v>-50065.666666666664</v>
      </c>
      <c r="E5" s="14">
        <f>E3</f>
        <v>-50065.666666666664</v>
      </c>
      <c r="F5" s="14"/>
      <c r="G5" s="14"/>
      <c r="H5" s="12"/>
      <c r="I5" s="8"/>
    </row>
    <row r="6" spans="2:11" x14ac:dyDescent="0.25">
      <c r="B6" s="14">
        <f>SUM($D$6:D6)</f>
        <v>-60000</v>
      </c>
      <c r="C6" s="15">
        <v>45505</v>
      </c>
      <c r="D6" s="14">
        <f t="shared" si="0"/>
        <v>-60000</v>
      </c>
      <c r="E6" s="14"/>
      <c r="F6" s="14">
        <f>-24%*K9</f>
        <v>-60000</v>
      </c>
      <c r="G6" s="14"/>
      <c r="H6" s="12" t="s">
        <v>37</v>
      </c>
      <c r="I6" s="8"/>
    </row>
    <row r="7" spans="2:11" x14ac:dyDescent="0.25">
      <c r="B7" s="14">
        <f>SUM($D$6:D7)</f>
        <v>-56575</v>
      </c>
      <c r="C7" s="15">
        <v>45566</v>
      </c>
      <c r="D7" s="14">
        <f t="shared" si="0"/>
        <v>3425</v>
      </c>
      <c r="E7" s="14"/>
      <c r="F7" s="14">
        <f>1.37%*K9</f>
        <v>3425</v>
      </c>
      <c r="G7" s="14"/>
      <c r="H7" s="12" t="s">
        <v>24</v>
      </c>
      <c r="I7" s="8"/>
      <c r="J7" t="s">
        <v>10</v>
      </c>
      <c r="K7" s="18">
        <f>150394.75*0</f>
        <v>0</v>
      </c>
    </row>
    <row r="8" spans="2:11" x14ac:dyDescent="0.25">
      <c r="B8" s="14">
        <f>SUM($D$6:D8)</f>
        <v>-56575</v>
      </c>
      <c r="C8" s="15">
        <v>45505</v>
      </c>
      <c r="D8" s="14">
        <f t="shared" si="0"/>
        <v>0</v>
      </c>
      <c r="E8" s="14"/>
      <c r="F8" s="14"/>
      <c r="G8" s="14">
        <f>-$K$7/5</f>
        <v>0</v>
      </c>
      <c r="H8" s="12"/>
      <c r="I8" s="8"/>
      <c r="J8" t="s">
        <v>5</v>
      </c>
      <c r="K8" s="5">
        <v>150197</v>
      </c>
    </row>
    <row r="9" spans="2:11" x14ac:dyDescent="0.25">
      <c r="B9" s="14">
        <f>SUM($D$6:D9)</f>
        <v>-56575</v>
      </c>
      <c r="C9" s="15">
        <v>45566</v>
      </c>
      <c r="D9" s="14">
        <f t="shared" si="0"/>
        <v>0</v>
      </c>
      <c r="E9" s="14"/>
      <c r="F9" s="14"/>
      <c r="G9" s="14">
        <f>-9%*G8</f>
        <v>0</v>
      </c>
      <c r="H9" s="12" t="s">
        <v>23</v>
      </c>
      <c r="I9" s="8"/>
      <c r="J9" t="s">
        <v>13</v>
      </c>
      <c r="K9" s="5">
        <v>250000</v>
      </c>
    </row>
    <row r="10" spans="2:11" x14ac:dyDescent="0.25">
      <c r="B10" s="14">
        <f>SUM($D$6:D10)</f>
        <v>-106640.66666666666</v>
      </c>
      <c r="C10" s="15">
        <v>45717</v>
      </c>
      <c r="D10" s="14">
        <f t="shared" si="0"/>
        <v>-50065.666666666664</v>
      </c>
      <c r="E10" s="14">
        <f>E3</f>
        <v>-50065.666666666664</v>
      </c>
      <c r="F10" s="14"/>
      <c r="G10" s="14"/>
      <c r="H10" s="12"/>
      <c r="I10" s="8"/>
      <c r="J10" t="s">
        <v>28</v>
      </c>
      <c r="K10" s="5">
        <f>K9+F6</f>
        <v>190000</v>
      </c>
    </row>
    <row r="11" spans="2:11" x14ac:dyDescent="0.25">
      <c r="B11" s="14">
        <f>SUM($D$6:D11)</f>
        <v>-106640.66666666666</v>
      </c>
      <c r="C11" s="15">
        <v>45870</v>
      </c>
      <c r="D11" s="14">
        <f t="shared" si="0"/>
        <v>0</v>
      </c>
      <c r="E11" s="14"/>
      <c r="F11" s="14"/>
      <c r="G11" s="14">
        <f>G8</f>
        <v>0</v>
      </c>
      <c r="H11" s="12"/>
      <c r="I11" s="8"/>
      <c r="J11" t="s">
        <v>30</v>
      </c>
      <c r="K11" s="2">
        <f>0.5%+K32</f>
        <v>3.0000000000000002E-2</v>
      </c>
    </row>
    <row r="12" spans="2:11" x14ac:dyDescent="0.25">
      <c r="B12" s="14">
        <f>SUM($D$6:D12)</f>
        <v>-106640.66666666666</v>
      </c>
      <c r="C12" s="15">
        <v>45870</v>
      </c>
      <c r="D12" s="14">
        <f t="shared" si="0"/>
        <v>0</v>
      </c>
      <c r="E12" s="14"/>
      <c r="F12" s="14"/>
      <c r="G12" s="14">
        <f>(0.0425-0.03)*K7</f>
        <v>0</v>
      </c>
      <c r="H12" s="12" t="s">
        <v>38</v>
      </c>
      <c r="I12" s="8"/>
    </row>
    <row r="13" spans="2:11" ht="30" x14ac:dyDescent="0.25">
      <c r="B13" s="14">
        <f>SUM($D$6:D13)</f>
        <v>-118850.66666666666</v>
      </c>
      <c r="C13" s="15">
        <v>45962</v>
      </c>
      <c r="D13" s="14">
        <f t="shared" si="0"/>
        <v>-12210</v>
      </c>
      <c r="E13" s="14"/>
      <c r="F13" s="14">
        <f>-(6510+K10*K11)</f>
        <v>-12210</v>
      </c>
      <c r="G13" s="14"/>
      <c r="H13" s="25" t="s">
        <v>49</v>
      </c>
      <c r="I13" s="8"/>
      <c r="J13" s="25" t="s">
        <v>54</v>
      </c>
      <c r="K13" s="26">
        <f>B13</f>
        <v>-118850.66666666666</v>
      </c>
    </row>
    <row r="14" spans="2:11" x14ac:dyDescent="0.25">
      <c r="B14" s="14">
        <f>SUM($D$6:D14)</f>
        <v>-114377.80000666666</v>
      </c>
      <c r="C14" s="15">
        <v>46082</v>
      </c>
      <c r="D14" s="14">
        <f>SUM(E14:G14)</f>
        <v>4472.8666599999997</v>
      </c>
      <c r="E14" s="14">
        <f>2.978%*K8</f>
        <v>4472.8666599999997</v>
      </c>
      <c r="F14" s="14"/>
      <c r="G14" s="14"/>
      <c r="H14" s="12" t="s">
        <v>7</v>
      </c>
      <c r="I14" s="8"/>
      <c r="J14" s="12" t="s">
        <v>39</v>
      </c>
      <c r="K14" s="14">
        <f>B5</f>
        <v>0</v>
      </c>
    </row>
    <row r="15" spans="2:11" x14ac:dyDescent="0.25">
      <c r="B15" s="14">
        <f>SUM($D$6:D15)</f>
        <v>35819.199993333343</v>
      </c>
      <c r="C15" s="15">
        <v>46082</v>
      </c>
      <c r="D15" s="14">
        <f>SUM(E15:G15)</f>
        <v>150197</v>
      </c>
      <c r="E15" s="14">
        <f>K8</f>
        <v>150197</v>
      </c>
      <c r="F15" s="14"/>
      <c r="G15" s="14"/>
      <c r="H15" s="12" t="s">
        <v>41</v>
      </c>
      <c r="I15" s="8"/>
      <c r="J15" s="12" t="s">
        <v>40</v>
      </c>
      <c r="K15" s="14">
        <f>K13-K14</f>
        <v>-118850.66666666666</v>
      </c>
    </row>
    <row r="16" spans="2:11" x14ac:dyDescent="0.25">
      <c r="B16" s="14">
        <f>SUM($D$6:D16)</f>
        <v>35819.199993333343</v>
      </c>
      <c r="C16" s="15">
        <v>46235</v>
      </c>
      <c r="D16" s="14">
        <f t="shared" si="0"/>
        <v>0</v>
      </c>
      <c r="E16" s="14"/>
      <c r="F16" s="14"/>
      <c r="G16" s="14">
        <f>G8</f>
        <v>0</v>
      </c>
      <c r="H16" s="12"/>
      <c r="I16" s="8"/>
    </row>
    <row r="17" spans="2:11" x14ac:dyDescent="0.25">
      <c r="B17" s="14">
        <f>SUM($D$6:D17)</f>
        <v>43844.199993333343</v>
      </c>
      <c r="C17" s="15">
        <v>46419</v>
      </c>
      <c r="D17" s="14">
        <f t="shared" si="0"/>
        <v>8024.9999999999991</v>
      </c>
      <c r="E17" s="14"/>
      <c r="F17" s="14">
        <f>3.21%*$K$9</f>
        <v>8024.9999999999991</v>
      </c>
      <c r="G17" s="14"/>
      <c r="H17" s="12" t="s">
        <v>25</v>
      </c>
      <c r="I17" s="8"/>
    </row>
    <row r="18" spans="2:11" x14ac:dyDescent="0.25">
      <c r="B18" s="14">
        <f>SUM($D$6:D18)</f>
        <v>103844.19999333334</v>
      </c>
      <c r="C18" s="15">
        <v>46419</v>
      </c>
      <c r="D18" s="14">
        <f t="shared" si="0"/>
        <v>60000</v>
      </c>
      <c r="E18" s="14"/>
      <c r="F18" s="14">
        <f>-F6</f>
        <v>60000</v>
      </c>
      <c r="G18" s="14"/>
      <c r="H18" s="17" t="s">
        <v>42</v>
      </c>
      <c r="I18" s="19"/>
    </row>
    <row r="19" spans="2:11" x14ac:dyDescent="0.25">
      <c r="B19" s="14">
        <f>SUM($D$6:D19)</f>
        <v>103844.19999333334</v>
      </c>
      <c r="C19" s="15">
        <v>46600</v>
      </c>
      <c r="D19" s="14">
        <f t="shared" si="0"/>
        <v>0</v>
      </c>
      <c r="E19" s="14"/>
      <c r="F19" s="14"/>
      <c r="G19" s="14">
        <f>G8</f>
        <v>0</v>
      </c>
      <c r="H19" s="12"/>
      <c r="I19" s="8"/>
    </row>
    <row r="20" spans="2:11" x14ac:dyDescent="0.25">
      <c r="B20" s="14">
        <f>SUM($D$6:D20)</f>
        <v>103844.19999333334</v>
      </c>
      <c r="C20" s="15">
        <v>46966</v>
      </c>
      <c r="D20" s="14">
        <f t="shared" si="0"/>
        <v>0</v>
      </c>
      <c r="E20" s="14"/>
      <c r="F20" s="14"/>
      <c r="G20" s="14">
        <f>G8</f>
        <v>0</v>
      </c>
      <c r="H20" s="12"/>
      <c r="I20" s="8"/>
    </row>
    <row r="21" spans="2:11" x14ac:dyDescent="0.25">
      <c r="B21" s="14">
        <f>SUM($D$6:D21)</f>
        <v>103844.19999333334</v>
      </c>
      <c r="C21" s="15">
        <v>47331</v>
      </c>
      <c r="D21" s="14">
        <f t="shared" si="0"/>
        <v>0</v>
      </c>
      <c r="E21" s="14"/>
      <c r="F21" s="14"/>
      <c r="G21" s="14">
        <f>3.391%*$K$7</f>
        <v>0</v>
      </c>
      <c r="H21" s="12" t="s">
        <v>8</v>
      </c>
      <c r="I21" s="8"/>
    </row>
    <row r="22" spans="2:11" x14ac:dyDescent="0.25">
      <c r="B22" s="14">
        <f>SUM($D$6:D22)</f>
        <v>103844.19999333334</v>
      </c>
      <c r="C22" s="15">
        <v>47331</v>
      </c>
      <c r="D22" s="14">
        <f t="shared" si="0"/>
        <v>0</v>
      </c>
      <c r="E22" s="14"/>
      <c r="F22" s="14"/>
      <c r="G22" s="14">
        <f>3%*K7</f>
        <v>0</v>
      </c>
      <c r="H22" s="12" t="s">
        <v>36</v>
      </c>
      <c r="I22" s="8"/>
    </row>
    <row r="23" spans="2:11" ht="15.75" thickBot="1" x14ac:dyDescent="0.3">
      <c r="B23" s="14">
        <f>SUM($D$6:D23)</f>
        <v>103844.19999333334</v>
      </c>
      <c r="C23" s="22">
        <v>47331</v>
      </c>
      <c r="D23" s="23">
        <f t="shared" si="0"/>
        <v>0</v>
      </c>
      <c r="E23" s="23"/>
      <c r="F23" s="23"/>
      <c r="G23" s="23">
        <f>K7</f>
        <v>0</v>
      </c>
      <c r="H23" s="12" t="s">
        <v>43</v>
      </c>
      <c r="I23" s="8"/>
    </row>
    <row r="24" spans="2:11" ht="15.75" thickTop="1" x14ac:dyDescent="0.25">
      <c r="B24" s="60" t="s">
        <v>47</v>
      </c>
      <c r="C24" s="61"/>
      <c r="D24" s="62"/>
      <c r="E24" s="21">
        <f>SUM(E3:E23)</f>
        <v>10601.86666</v>
      </c>
      <c r="F24" s="21">
        <f>SUM(F3:F23)</f>
        <v>-760</v>
      </c>
      <c r="G24" s="21">
        <f>SUM(G3:G23)</f>
        <v>-0.01</v>
      </c>
      <c r="H24" s="12"/>
      <c r="I24" s="8"/>
    </row>
    <row r="25" spans="2:11" x14ac:dyDescent="0.25">
      <c r="B25" s="63"/>
      <c r="C25" s="64"/>
      <c r="D25" s="65"/>
      <c r="E25" s="16">
        <f>XIRR(E3:E23,C3:C23)</f>
        <v>3.9722254872322102E-2</v>
      </c>
      <c r="F25" s="16" t="s">
        <v>50</v>
      </c>
      <c r="G25" s="16"/>
      <c r="H25" s="12"/>
      <c r="I25" s="8"/>
    </row>
    <row r="26" spans="2:11" x14ac:dyDescent="0.25">
      <c r="B26" s="12" t="s">
        <v>35</v>
      </c>
      <c r="C26" s="15"/>
      <c r="D26" s="14"/>
      <c r="E26" s="14"/>
      <c r="F26" s="14"/>
      <c r="G26" s="16"/>
      <c r="H26" s="12"/>
      <c r="I26" s="8"/>
    </row>
    <row r="27" spans="2:11" x14ac:dyDescent="0.25">
      <c r="B27" s="14">
        <f>SUM($D$6:D27)</f>
        <v>103844.19999333334</v>
      </c>
      <c r="C27" s="15">
        <v>47696</v>
      </c>
      <c r="D27" s="14">
        <f t="shared" si="0"/>
        <v>0</v>
      </c>
      <c r="E27" s="14"/>
      <c r="F27" s="14"/>
      <c r="G27" s="14">
        <f>3.391%*$K$7</f>
        <v>0</v>
      </c>
      <c r="H27" s="66" t="s">
        <v>53</v>
      </c>
      <c r="I27" s="8"/>
    </row>
    <row r="28" spans="2:11" x14ac:dyDescent="0.25">
      <c r="B28" s="14">
        <f>SUM($D$6:D28)</f>
        <v>103844.19999333334</v>
      </c>
      <c r="C28" s="15">
        <v>48061</v>
      </c>
      <c r="D28" s="14">
        <f t="shared" si="0"/>
        <v>0</v>
      </c>
      <c r="E28" s="14"/>
      <c r="F28" s="14"/>
      <c r="G28" s="14">
        <f>3.391%*$K$7</f>
        <v>0</v>
      </c>
      <c r="H28" s="67"/>
      <c r="I28" s="8"/>
    </row>
    <row r="29" spans="2:11" x14ac:dyDescent="0.25">
      <c r="B29" s="14">
        <f>SUM($D$6:D29)</f>
        <v>103844.19999333334</v>
      </c>
      <c r="C29" s="15">
        <v>48427</v>
      </c>
      <c r="D29" s="14">
        <f t="shared" si="0"/>
        <v>0</v>
      </c>
      <c r="E29" s="14"/>
      <c r="F29" s="14"/>
      <c r="G29" s="14">
        <f>3.391%*$K$7</f>
        <v>0</v>
      </c>
      <c r="H29" s="67"/>
      <c r="I29" s="8"/>
    </row>
    <row r="30" spans="2:11" x14ac:dyDescent="0.25">
      <c r="B30" s="14">
        <f>SUM($D$6:D30)</f>
        <v>103844.19999333334</v>
      </c>
      <c r="C30" s="15">
        <v>48792</v>
      </c>
      <c r="D30" s="14">
        <f t="shared" si="0"/>
        <v>0</v>
      </c>
      <c r="E30" s="14"/>
      <c r="F30" s="14"/>
      <c r="G30" s="14">
        <f>3.391%*$K$7</f>
        <v>0</v>
      </c>
      <c r="H30" s="67"/>
      <c r="I30" s="8"/>
    </row>
    <row r="31" spans="2:11" x14ac:dyDescent="0.25">
      <c r="B31" s="14">
        <f>SUM($D$6:D31)</f>
        <v>103844.19999333334</v>
      </c>
      <c r="C31" s="15">
        <v>49157</v>
      </c>
      <c r="D31" s="14">
        <f t="shared" si="0"/>
        <v>0</v>
      </c>
      <c r="E31" s="14"/>
      <c r="F31" s="14"/>
      <c r="G31" s="14">
        <f>3.391%*$K$7</f>
        <v>0</v>
      </c>
      <c r="H31" s="67"/>
      <c r="I31" s="8"/>
    </row>
    <row r="32" spans="2:11" x14ac:dyDescent="0.25">
      <c r="B32" s="14">
        <f>SUM($D$6:D32)</f>
        <v>107119.19999333334</v>
      </c>
      <c r="C32" s="13">
        <v>46784</v>
      </c>
      <c r="D32" s="14">
        <f t="shared" si="0"/>
        <v>3274.9999999999991</v>
      </c>
      <c r="E32" s="14"/>
      <c r="F32" s="12">
        <f>3.21%*$K$9-$K$10*$K$32</f>
        <v>3274.9999999999991</v>
      </c>
      <c r="G32" s="29" t="s">
        <v>45</v>
      </c>
      <c r="H32" s="67"/>
      <c r="I32" s="8"/>
      <c r="J32" t="s">
        <v>46</v>
      </c>
      <c r="K32" s="2">
        <v>2.5000000000000001E-2</v>
      </c>
    </row>
    <row r="33" spans="2:11" x14ac:dyDescent="0.25">
      <c r="B33" s="14">
        <f>SUM($D$6:D33)</f>
        <v>110394.19999333334</v>
      </c>
      <c r="C33" s="13">
        <v>47150</v>
      </c>
      <c r="D33" s="14">
        <f t="shared" si="0"/>
        <v>3274.9999999999991</v>
      </c>
      <c r="E33" s="14"/>
      <c r="F33" s="12">
        <f t="shared" ref="F33:F38" si="1">3.21%*$K$9-$K$10*$K$32</f>
        <v>3274.9999999999991</v>
      </c>
      <c r="G33" s="14"/>
      <c r="H33" s="67"/>
      <c r="I33" s="8"/>
      <c r="J33" t="s">
        <v>48</v>
      </c>
      <c r="K33" s="24">
        <f>-F32/F6</f>
        <v>5.4583333333333317E-2</v>
      </c>
    </row>
    <row r="34" spans="2:11" x14ac:dyDescent="0.25">
      <c r="B34" s="14">
        <f>SUM($D$6:D34)</f>
        <v>113669.19999333334</v>
      </c>
      <c r="C34" s="13">
        <v>47515</v>
      </c>
      <c r="D34" s="14">
        <f t="shared" si="0"/>
        <v>3274.9999999999991</v>
      </c>
      <c r="E34" s="14"/>
      <c r="F34" s="12">
        <f t="shared" si="1"/>
        <v>3274.9999999999991</v>
      </c>
      <c r="G34" s="14"/>
      <c r="H34" s="67"/>
      <c r="I34" s="8"/>
    </row>
    <row r="35" spans="2:11" x14ac:dyDescent="0.25">
      <c r="B35" s="14">
        <f>SUM($D$6:D35)</f>
        <v>116944.19999333334</v>
      </c>
      <c r="C35" s="13">
        <v>47880</v>
      </c>
      <c r="D35" s="14">
        <f t="shared" si="0"/>
        <v>3274.9999999999991</v>
      </c>
      <c r="E35" s="14"/>
      <c r="F35" s="12">
        <f t="shared" si="1"/>
        <v>3274.9999999999991</v>
      </c>
      <c r="G35" s="14"/>
      <c r="H35" s="67"/>
      <c r="I35" s="8"/>
    </row>
    <row r="36" spans="2:11" x14ac:dyDescent="0.25">
      <c r="B36" s="14">
        <f>SUM($D$6:D36)</f>
        <v>120219.19999333334</v>
      </c>
      <c r="C36" s="13">
        <v>48245</v>
      </c>
      <c r="D36" s="14">
        <f t="shared" si="0"/>
        <v>3274.9999999999991</v>
      </c>
      <c r="E36" s="14"/>
      <c r="F36" s="12">
        <f t="shared" si="1"/>
        <v>3274.9999999999991</v>
      </c>
      <c r="G36" s="14"/>
      <c r="H36" s="67"/>
      <c r="I36" s="8"/>
    </row>
    <row r="37" spans="2:11" x14ac:dyDescent="0.25">
      <c r="B37" s="14">
        <f>SUM($D$6:D37)</f>
        <v>123494.19999333334</v>
      </c>
      <c r="C37" s="13">
        <v>48611</v>
      </c>
      <c r="D37" s="14">
        <f t="shared" si="0"/>
        <v>3274.9999999999991</v>
      </c>
      <c r="E37" s="14"/>
      <c r="F37" s="12">
        <f t="shared" si="1"/>
        <v>3274.9999999999991</v>
      </c>
      <c r="G37" s="14"/>
      <c r="H37" s="67"/>
      <c r="I37" s="8"/>
    </row>
    <row r="38" spans="2:11" x14ac:dyDescent="0.25">
      <c r="B38" s="14">
        <f>SUM($D$6:D38)</f>
        <v>126769.19999333334</v>
      </c>
      <c r="C38" s="13">
        <v>48976</v>
      </c>
      <c r="D38" s="14">
        <f t="shared" si="0"/>
        <v>3274.9999999999991</v>
      </c>
      <c r="E38" s="14"/>
      <c r="F38" s="12">
        <f t="shared" si="1"/>
        <v>3274.9999999999991</v>
      </c>
      <c r="G38" s="14"/>
      <c r="H38" s="68"/>
      <c r="I38" s="8"/>
    </row>
    <row r="40" spans="2:11" x14ac:dyDescent="0.25">
      <c r="H40" t="s">
        <v>44</v>
      </c>
    </row>
  </sheetData>
  <mergeCells count="2">
    <mergeCell ref="B24:D25"/>
    <mergeCell ref="H27:H38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85-7913-4032-AD19-3529039FBF47}">
  <dimension ref="A2:F10"/>
  <sheetViews>
    <sheetView workbookViewId="0">
      <selection activeCell="G24" sqref="G24"/>
    </sheetView>
  </sheetViews>
  <sheetFormatPr defaultRowHeight="15" x14ac:dyDescent="0.25"/>
  <cols>
    <col min="1" max="1" width="9.140625" style="5"/>
    <col min="2" max="2" width="7.140625" style="4" bestFit="1" customWidth="1"/>
    <col min="3" max="3" width="9.85546875" customWidth="1"/>
    <col min="4" max="4" width="5.7109375" customWidth="1"/>
    <col min="5" max="5" width="10.28515625" bestFit="1" customWidth="1"/>
  </cols>
  <sheetData>
    <row r="2" spans="1:6" x14ac:dyDescent="0.25">
      <c r="A2" s="5" t="s">
        <v>12</v>
      </c>
      <c r="C2" t="s">
        <v>2</v>
      </c>
    </row>
    <row r="3" spans="1:6" x14ac:dyDescent="0.25">
      <c r="B3" s="4">
        <v>45170</v>
      </c>
      <c r="C3">
        <f>-F3/3</f>
        <v>-50065.666666666664</v>
      </c>
      <c r="E3" t="s">
        <v>0</v>
      </c>
      <c r="F3">
        <v>150197</v>
      </c>
    </row>
    <row r="4" spans="1:6" x14ac:dyDescent="0.25">
      <c r="B4" s="4">
        <v>45261</v>
      </c>
      <c r="C4">
        <v>6129</v>
      </c>
    </row>
    <row r="5" spans="1:6" x14ac:dyDescent="0.25">
      <c r="B5" s="4">
        <v>45352</v>
      </c>
      <c r="C5">
        <f>C3</f>
        <v>-50065.666666666664</v>
      </c>
    </row>
    <row r="7" spans="1:6" x14ac:dyDescent="0.25">
      <c r="B7" s="4">
        <v>45717</v>
      </c>
      <c r="C7">
        <f>C3</f>
        <v>-50065.666666666664</v>
      </c>
    </row>
    <row r="9" spans="1:6" x14ac:dyDescent="0.25">
      <c r="B9" s="4">
        <v>46082</v>
      </c>
      <c r="C9" s="20">
        <f>2.978%*F3</f>
        <v>4472.8666599999997</v>
      </c>
      <c r="D9" t="s">
        <v>4</v>
      </c>
    </row>
    <row r="10" spans="1:6" x14ac:dyDescent="0.25">
      <c r="A10" s="5">
        <f>SUM(C3:C10)</f>
        <v>10601.86666</v>
      </c>
      <c r="B10" s="4">
        <v>46082</v>
      </c>
      <c r="C10">
        <f>F3</f>
        <v>150197</v>
      </c>
      <c r="E10" s="4" t="s">
        <v>1</v>
      </c>
      <c r="F10" s="2">
        <f>XIRR(C3:C10,B3:B10)</f>
        <v>3.9722254872322102E-2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064C-1D35-49D7-BB91-35C1078A317A}">
  <dimension ref="A2:L32"/>
  <sheetViews>
    <sheetView workbookViewId="0">
      <selection activeCell="G5" sqref="G5"/>
    </sheetView>
  </sheetViews>
  <sheetFormatPr defaultRowHeight="15" x14ac:dyDescent="0.25"/>
  <cols>
    <col min="1" max="1" width="4.7109375" style="31" bestFit="1" customWidth="1"/>
    <col min="2" max="2" width="10" style="31" bestFit="1" customWidth="1"/>
    <col min="3" max="3" width="7.42578125" style="34" bestFit="1" customWidth="1"/>
    <col min="4" max="4" width="10.85546875" style="51" bestFit="1" customWidth="1"/>
    <col min="5" max="5" width="36.85546875" style="31" bestFit="1" customWidth="1"/>
    <col min="6" max="6" width="1.5703125" style="31" customWidth="1"/>
    <col min="7" max="7" width="17.7109375" style="31" bestFit="1" customWidth="1"/>
    <col min="8" max="16384" width="9.140625" style="31"/>
  </cols>
  <sheetData>
    <row r="2" spans="1:12" x14ac:dyDescent="0.25">
      <c r="C2" s="47"/>
      <c r="D2" s="50" t="s">
        <v>2</v>
      </c>
    </row>
    <row r="3" spans="1:12" x14ac:dyDescent="0.25">
      <c r="A3" s="32"/>
      <c r="B3" s="33"/>
      <c r="C3" s="48">
        <v>45597</v>
      </c>
      <c r="D3" s="50">
        <f>-24%*H6</f>
        <v>-76189.919999999998</v>
      </c>
      <c r="E3" s="31" t="s">
        <v>63</v>
      </c>
      <c r="I3" s="33"/>
      <c r="J3" s="31">
        <f>9/12</f>
        <v>0.75</v>
      </c>
      <c r="K3" s="33">
        <v>2.53E-2</v>
      </c>
      <c r="L3" s="35">
        <f>$H$9*J3*K3</f>
        <v>4578.0618180000001</v>
      </c>
    </row>
    <row r="4" spans="1:12" x14ac:dyDescent="0.25">
      <c r="A4" s="32"/>
      <c r="B4" s="33"/>
      <c r="C4" s="48">
        <v>45658</v>
      </c>
      <c r="D4" s="50">
        <f>H4*H6</f>
        <v>4349.1746000000003</v>
      </c>
      <c r="E4" s="31" t="s">
        <v>24</v>
      </c>
      <c r="G4" s="40" t="s">
        <v>22</v>
      </c>
      <c r="H4" s="42">
        <v>1.37E-2</v>
      </c>
      <c r="J4" s="31">
        <v>1</v>
      </c>
      <c r="K4" s="33">
        <v>2.3300000000000001E-2</v>
      </c>
      <c r="L4" s="35">
        <f t="shared" ref="L4:L5" si="0">$H$9*J4*K4</f>
        <v>5621.5462640000005</v>
      </c>
    </row>
    <row r="5" spans="1:12" x14ac:dyDescent="0.25">
      <c r="A5" s="32"/>
      <c r="B5" s="33"/>
      <c r="C5" s="48"/>
      <c r="D5" s="50"/>
      <c r="G5" s="43" t="s">
        <v>71</v>
      </c>
      <c r="H5" s="44">
        <f>D9/H6</f>
        <v>3.2760239149745796E-2</v>
      </c>
      <c r="J5" s="31">
        <f>6/12</f>
        <v>0.5</v>
      </c>
      <c r="K5" s="33">
        <f>H8</f>
        <v>0.03</v>
      </c>
      <c r="L5" s="35">
        <f t="shared" si="0"/>
        <v>3619.0212000000001</v>
      </c>
    </row>
    <row r="6" spans="1:12" x14ac:dyDescent="0.25">
      <c r="A6" s="32"/>
      <c r="B6" s="33"/>
      <c r="C6" s="48">
        <v>46023</v>
      </c>
      <c r="D6" s="50">
        <f>-SUM(L3:L5)</f>
        <v>-13818.629282000002</v>
      </c>
      <c r="E6" s="31" t="s">
        <v>75</v>
      </c>
      <c r="G6" s="40" t="s">
        <v>76</v>
      </c>
      <c r="H6" s="41">
        <v>317458</v>
      </c>
      <c r="K6" s="36"/>
      <c r="L6" s="35"/>
    </row>
    <row r="7" spans="1:12" x14ac:dyDescent="0.25">
      <c r="A7" s="58" t="s">
        <v>68</v>
      </c>
      <c r="B7" s="59"/>
      <c r="C7" s="48"/>
      <c r="D7" s="50"/>
      <c r="G7" s="40"/>
      <c r="H7" s="41"/>
    </row>
    <row r="8" spans="1:12" x14ac:dyDescent="0.25">
      <c r="A8" s="46" t="s">
        <v>65</v>
      </c>
      <c r="B8" s="31" t="s">
        <v>66</v>
      </c>
      <c r="C8" s="48"/>
      <c r="D8" s="50"/>
      <c r="G8" s="40" t="s">
        <v>73</v>
      </c>
      <c r="H8" s="42">
        <v>0.03</v>
      </c>
    </row>
    <row r="9" spans="1:12" x14ac:dyDescent="0.25">
      <c r="A9" s="32">
        <f>B9-D3</f>
        <v>930.54531800000404</v>
      </c>
      <c r="B9" s="32">
        <f>SUM($D$3:D9)</f>
        <v>-75259.374681999994</v>
      </c>
      <c r="C9" s="48">
        <v>46447</v>
      </c>
      <c r="D9" s="50">
        <v>10400</v>
      </c>
      <c r="E9" s="31" t="s">
        <v>77</v>
      </c>
      <c r="G9" s="40" t="s">
        <v>21</v>
      </c>
      <c r="H9" s="41">
        <f>H6+D3</f>
        <v>241268.08000000002</v>
      </c>
    </row>
    <row r="10" spans="1:12" x14ac:dyDescent="0.25">
      <c r="A10" s="32"/>
      <c r="B10" s="49" t="s">
        <v>70</v>
      </c>
      <c r="C10" s="48"/>
      <c r="D10" s="50"/>
      <c r="E10" s="37"/>
      <c r="F10" s="37"/>
      <c r="G10" s="40" t="s">
        <v>19</v>
      </c>
      <c r="H10" s="42">
        <v>0.02</v>
      </c>
    </row>
    <row r="11" spans="1:12" x14ac:dyDescent="0.25">
      <c r="A11" s="32"/>
      <c r="B11" s="39">
        <f>-D11/$D$3</f>
        <v>7.316766312394081E-2</v>
      </c>
      <c r="C11" s="48">
        <v>46813</v>
      </c>
      <c r="D11" s="50">
        <f>10400-$H$10*$H$9</f>
        <v>5574.6383999999998</v>
      </c>
      <c r="I11" s="38"/>
      <c r="J11" s="38"/>
    </row>
    <row r="12" spans="1:12" x14ac:dyDescent="0.25">
      <c r="A12" s="32"/>
      <c r="B12" s="39">
        <f>-D12/$D$3</f>
        <v>7.316766312394081E-2</v>
      </c>
      <c r="C12" s="48">
        <v>47178</v>
      </c>
      <c r="D12" s="50">
        <f t="shared" ref="D12:D27" si="1">10400-$H$10*$H$9</f>
        <v>5574.6383999999998</v>
      </c>
      <c r="G12" s="38"/>
      <c r="H12" s="38"/>
      <c r="I12" s="38"/>
      <c r="J12" s="38"/>
    </row>
    <row r="13" spans="1:12" x14ac:dyDescent="0.25">
      <c r="A13" s="32"/>
      <c r="B13" s="39">
        <f>-D13/$D$3</f>
        <v>7.316766312394081E-2</v>
      </c>
      <c r="C13" s="48">
        <v>47543</v>
      </c>
      <c r="D13" s="50">
        <f t="shared" si="1"/>
        <v>5574.6383999999998</v>
      </c>
      <c r="G13" s="38"/>
      <c r="H13" s="38"/>
      <c r="I13" s="38"/>
      <c r="J13" s="38"/>
    </row>
    <row r="14" spans="1:12" x14ac:dyDescent="0.25">
      <c r="A14" s="32"/>
      <c r="B14" s="39">
        <f t="shared" ref="B14:B15" si="2">-D14/$D$3</f>
        <v>7.316766312394081E-2</v>
      </c>
      <c r="C14" s="48">
        <v>47908</v>
      </c>
      <c r="D14" s="50">
        <f t="shared" si="1"/>
        <v>5574.6383999999998</v>
      </c>
    </row>
    <row r="15" spans="1:12" x14ac:dyDescent="0.25">
      <c r="A15" s="32"/>
      <c r="B15" s="39">
        <f t="shared" si="2"/>
        <v>7.316766312394081E-2</v>
      </c>
      <c r="C15" s="48">
        <v>48274</v>
      </c>
      <c r="D15" s="50">
        <f t="shared" si="1"/>
        <v>5574.6383999999998</v>
      </c>
    </row>
    <row r="16" spans="1:12" x14ac:dyDescent="0.25">
      <c r="A16" s="32"/>
      <c r="B16" s="45" t="s">
        <v>67</v>
      </c>
      <c r="C16" s="48">
        <v>48639</v>
      </c>
      <c r="D16" s="50">
        <f t="shared" si="1"/>
        <v>5574.6383999999998</v>
      </c>
    </row>
    <row r="17" spans="1:8" x14ac:dyDescent="0.25">
      <c r="A17" s="32"/>
      <c r="B17" s="33"/>
      <c r="C17" s="48">
        <v>49004</v>
      </c>
      <c r="D17" s="50">
        <f t="shared" si="1"/>
        <v>5574.6383999999998</v>
      </c>
    </row>
    <row r="18" spans="1:8" x14ac:dyDescent="0.25">
      <c r="A18" s="32"/>
      <c r="B18" s="33"/>
      <c r="C18" s="48">
        <v>49369</v>
      </c>
      <c r="D18" s="50">
        <f t="shared" si="1"/>
        <v>5574.6383999999998</v>
      </c>
    </row>
    <row r="19" spans="1:8" x14ac:dyDescent="0.25">
      <c r="A19" s="32"/>
      <c r="B19" s="33"/>
      <c r="C19" s="48">
        <v>49735</v>
      </c>
      <c r="D19" s="50">
        <f t="shared" si="1"/>
        <v>5574.6383999999998</v>
      </c>
    </row>
    <row r="20" spans="1:8" x14ac:dyDescent="0.25">
      <c r="A20" s="32"/>
      <c r="B20" s="33"/>
      <c r="C20" s="48">
        <v>50100</v>
      </c>
      <c r="D20" s="50">
        <f t="shared" si="1"/>
        <v>5574.6383999999998</v>
      </c>
    </row>
    <row r="21" spans="1:8" x14ac:dyDescent="0.25">
      <c r="A21" s="32"/>
      <c r="B21" s="33"/>
      <c r="C21" s="48">
        <v>50465</v>
      </c>
      <c r="D21" s="50">
        <f t="shared" si="1"/>
        <v>5574.6383999999998</v>
      </c>
    </row>
    <row r="22" spans="1:8" x14ac:dyDescent="0.25">
      <c r="A22" s="32"/>
      <c r="B22" s="33"/>
      <c r="C22" s="48">
        <v>50830</v>
      </c>
      <c r="D22" s="50">
        <f t="shared" si="1"/>
        <v>5574.6383999999998</v>
      </c>
    </row>
    <row r="23" spans="1:8" x14ac:dyDescent="0.25">
      <c r="A23" s="32"/>
      <c r="B23" s="33"/>
      <c r="C23" s="48">
        <v>51196</v>
      </c>
      <c r="D23" s="50">
        <f t="shared" si="1"/>
        <v>5574.6383999999998</v>
      </c>
    </row>
    <row r="24" spans="1:8" x14ac:dyDescent="0.25">
      <c r="A24" s="32"/>
      <c r="B24" s="33"/>
      <c r="C24" s="48">
        <v>51561</v>
      </c>
      <c r="D24" s="50">
        <f t="shared" si="1"/>
        <v>5574.6383999999998</v>
      </c>
    </row>
    <row r="25" spans="1:8" x14ac:dyDescent="0.25">
      <c r="A25" s="32"/>
      <c r="B25" s="33"/>
      <c r="C25" s="48">
        <v>51926</v>
      </c>
      <c r="D25" s="50">
        <f t="shared" si="1"/>
        <v>5574.6383999999998</v>
      </c>
    </row>
    <row r="26" spans="1:8" x14ac:dyDescent="0.25">
      <c r="A26" s="32"/>
      <c r="B26" s="33"/>
      <c r="C26" s="48">
        <v>52291</v>
      </c>
      <c r="D26" s="50">
        <f t="shared" si="1"/>
        <v>5574.6383999999998</v>
      </c>
    </row>
    <row r="27" spans="1:8" x14ac:dyDescent="0.25">
      <c r="A27" s="32"/>
      <c r="B27" s="33" t="s">
        <v>64</v>
      </c>
      <c r="C27" s="48">
        <v>52657</v>
      </c>
      <c r="D27" s="50">
        <f t="shared" si="1"/>
        <v>5574.6383999999998</v>
      </c>
    </row>
    <row r="28" spans="1:8" x14ac:dyDescent="0.25">
      <c r="A28" s="32"/>
      <c r="B28" s="33">
        <f>XIRR(D3:D28,C3:C28)</f>
        <v>6.5773609280586245E-2</v>
      </c>
      <c r="C28" s="48">
        <v>52657</v>
      </c>
      <c r="D28" s="50">
        <v>94080</v>
      </c>
      <c r="E28" s="31" t="s">
        <v>69</v>
      </c>
      <c r="F28" s="37"/>
      <c r="G28" s="37"/>
      <c r="H28" s="37"/>
    </row>
    <row r="29" spans="1:8" x14ac:dyDescent="0.25">
      <c r="A29" s="32"/>
      <c r="B29" s="33"/>
      <c r="C29" s="48"/>
      <c r="D29" s="50"/>
      <c r="E29" s="37" t="s">
        <v>62</v>
      </c>
    </row>
    <row r="31" spans="1:8" x14ac:dyDescent="0.25">
      <c r="A31" s="32"/>
      <c r="B31" s="33" t="s">
        <v>72</v>
      </c>
    </row>
    <row r="32" spans="1:8" x14ac:dyDescent="0.25">
      <c r="B32" s="31" t="s">
        <v>74</v>
      </c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DB8D-88AD-45FA-A854-BC1C8DC366C2}">
  <dimension ref="A2:L31"/>
  <sheetViews>
    <sheetView workbookViewId="0">
      <selection activeCell="K55" sqref="K55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.42578125" style="3" bestFit="1" customWidth="1"/>
    <col min="4" max="4" width="10.85546875" bestFit="1" customWidth="1"/>
    <col min="5" max="5" width="18.28515625" customWidth="1"/>
    <col min="6" max="6" width="17.85546875" bestFit="1" customWidth="1"/>
    <col min="10" max="10" width="7.140625" bestFit="1" customWidth="1"/>
    <col min="11" max="11" width="6" style="20" bestFit="1" customWidth="1"/>
  </cols>
  <sheetData>
    <row r="2" spans="1:12" x14ac:dyDescent="0.25">
      <c r="C2" s="15"/>
      <c r="D2" s="12" t="s">
        <v>2</v>
      </c>
      <c r="F2" s="12" t="s">
        <v>59</v>
      </c>
      <c r="G2" s="52">
        <v>410000</v>
      </c>
    </row>
    <row r="3" spans="1:12" x14ac:dyDescent="0.25">
      <c r="A3" s="5"/>
      <c r="B3" s="2"/>
      <c r="C3" s="13">
        <v>45597</v>
      </c>
      <c r="D3" s="14">
        <f>-24%*G2</f>
        <v>-98400</v>
      </c>
      <c r="E3" t="s">
        <v>55</v>
      </c>
      <c r="F3" s="12" t="s">
        <v>22</v>
      </c>
      <c r="G3" s="56">
        <v>0.02</v>
      </c>
      <c r="H3" t="s">
        <v>82</v>
      </c>
    </row>
    <row r="4" spans="1:12" x14ac:dyDescent="0.25">
      <c r="A4" s="5"/>
      <c r="B4" s="2"/>
      <c r="C4" s="13">
        <v>45689</v>
      </c>
      <c r="D4" s="53">
        <f>G3*G2</f>
        <v>8200</v>
      </c>
      <c r="E4" t="s">
        <v>56</v>
      </c>
      <c r="F4" s="43" t="s">
        <v>71</v>
      </c>
      <c r="G4" s="55">
        <v>3.3799999999999997E-2</v>
      </c>
    </row>
    <row r="5" spans="1:12" x14ac:dyDescent="0.25">
      <c r="A5" s="5"/>
      <c r="B5" s="2"/>
      <c r="C5" s="13"/>
      <c r="D5" s="12"/>
      <c r="F5" s="12" t="s">
        <v>78</v>
      </c>
      <c r="G5" s="16">
        <v>0.03</v>
      </c>
      <c r="I5">
        <v>0.75</v>
      </c>
      <c r="J5" s="2">
        <v>2.53E-2</v>
      </c>
      <c r="K5" s="20">
        <f>$G$6*I5*J5</f>
        <v>5912.61</v>
      </c>
    </row>
    <row r="6" spans="1:12" x14ac:dyDescent="0.25">
      <c r="A6" s="5"/>
      <c r="B6" s="2"/>
      <c r="C6" s="13">
        <v>46174</v>
      </c>
      <c r="D6" s="54">
        <f>-K8</f>
        <v>-24078.89</v>
      </c>
      <c r="E6" t="s">
        <v>58</v>
      </c>
      <c r="F6" s="12" t="s">
        <v>21</v>
      </c>
      <c r="G6" s="52">
        <f>G2+D3</f>
        <v>311600</v>
      </c>
      <c r="I6">
        <v>1</v>
      </c>
      <c r="J6" s="2">
        <v>2.3300000000000001E-2</v>
      </c>
      <c r="K6" s="20">
        <f>$G$6*I6*J6</f>
        <v>7260.2800000000007</v>
      </c>
    </row>
    <row r="7" spans="1:12" x14ac:dyDescent="0.25">
      <c r="A7" s="58" t="s">
        <v>68</v>
      </c>
      <c r="B7" s="59"/>
      <c r="C7" s="13"/>
      <c r="D7" s="12"/>
      <c r="F7" s="12" t="s">
        <v>19</v>
      </c>
      <c r="G7" s="16">
        <v>0.02</v>
      </c>
      <c r="I7">
        <f>14/12</f>
        <v>1.1666666666666667</v>
      </c>
      <c r="J7" s="2">
        <f>G5</f>
        <v>0.03</v>
      </c>
      <c r="K7" s="20">
        <f>$G$6*I7*J7</f>
        <v>10906</v>
      </c>
      <c r="L7" t="s">
        <v>79</v>
      </c>
    </row>
    <row r="8" spans="1:12" x14ac:dyDescent="0.25">
      <c r="A8" s="31" t="s">
        <v>66</v>
      </c>
      <c r="B8" s="46" t="s">
        <v>65</v>
      </c>
      <c r="C8" s="13">
        <v>46692</v>
      </c>
      <c r="D8" s="54">
        <f>G4*$G$2</f>
        <v>13857.999999999998</v>
      </c>
      <c r="E8" t="s">
        <v>57</v>
      </c>
      <c r="F8" s="17"/>
      <c r="G8" s="17"/>
      <c r="J8" s="11"/>
      <c r="K8" s="20">
        <f>SUM(K5:K7)</f>
        <v>24078.89</v>
      </c>
    </row>
    <row r="9" spans="1:12" x14ac:dyDescent="0.25">
      <c r="A9" s="5">
        <f>SUM($D$3:D9)</f>
        <v>-100420.89</v>
      </c>
      <c r="B9" s="5">
        <f>A9-D3</f>
        <v>-2020.8899999999994</v>
      </c>
      <c r="C9" s="13">
        <v>46692</v>
      </c>
      <c r="D9" s="54">
        <f>-$D$3*0</f>
        <v>0</v>
      </c>
      <c r="E9" s="6" t="s">
        <v>83</v>
      </c>
    </row>
    <row r="10" spans="1:12" x14ac:dyDescent="0.25">
      <c r="A10" s="5"/>
      <c r="C10" s="13"/>
      <c r="D10" s="54"/>
      <c r="E10" s="6"/>
    </row>
    <row r="11" spans="1:12" x14ac:dyDescent="0.25">
      <c r="A11" s="5">
        <f>SUM($D$3:D11)</f>
        <v>-92794.89</v>
      </c>
      <c r="B11" s="2"/>
      <c r="C11" s="13">
        <v>47058</v>
      </c>
      <c r="D11" s="54">
        <f t="shared" ref="D11:D27" si="0">$G$4*$G$2-$G$7*$G$6</f>
        <v>7625.9999999999982</v>
      </c>
      <c r="E11" t="s">
        <v>80</v>
      </c>
    </row>
    <row r="12" spans="1:12" x14ac:dyDescent="0.25">
      <c r="A12" s="5">
        <f>SUM($D$3:D12)</f>
        <v>-85168.89</v>
      </c>
      <c r="B12" s="2"/>
      <c r="C12" s="13">
        <v>47423</v>
      </c>
      <c r="D12" s="54">
        <f t="shared" si="0"/>
        <v>7625.9999999999982</v>
      </c>
      <c r="F12" s="8"/>
      <c r="G12" s="8"/>
      <c r="H12" s="8"/>
      <c r="I12" s="8"/>
    </row>
    <row r="13" spans="1:12" x14ac:dyDescent="0.25">
      <c r="A13" s="5">
        <f>SUM($D$3:D13)</f>
        <v>-77542.89</v>
      </c>
      <c r="B13" s="2"/>
      <c r="C13" s="13">
        <v>47788</v>
      </c>
      <c r="D13" s="54">
        <f t="shared" si="0"/>
        <v>7625.9999999999982</v>
      </c>
      <c r="F13" s="8"/>
      <c r="G13" s="8"/>
      <c r="H13" s="8"/>
      <c r="I13" s="8"/>
    </row>
    <row r="14" spans="1:12" x14ac:dyDescent="0.25">
      <c r="A14" s="5">
        <f>SUM($D$3:D14)</f>
        <v>-69916.89</v>
      </c>
      <c r="B14" s="8" t="s">
        <v>60</v>
      </c>
      <c r="C14" s="13">
        <v>48153</v>
      </c>
      <c r="D14" s="54">
        <f t="shared" si="0"/>
        <v>7625.9999999999982</v>
      </c>
      <c r="H14" s="8"/>
      <c r="I14" s="8"/>
    </row>
    <row r="15" spans="1:12" x14ac:dyDescent="0.25">
      <c r="A15" s="5">
        <f>SUM($D$3:D15)</f>
        <v>-62290.89</v>
      </c>
      <c r="B15" s="30">
        <f>-D15/D3</f>
        <v>7.7499999999999986E-2</v>
      </c>
      <c r="C15" s="13">
        <v>48519</v>
      </c>
      <c r="D15" s="54">
        <f t="shared" si="0"/>
        <v>7625.9999999999982</v>
      </c>
    </row>
    <row r="16" spans="1:12" x14ac:dyDescent="0.25">
      <c r="A16" s="5">
        <f>SUM($D$3:D16)</f>
        <v>-54664.89</v>
      </c>
      <c r="B16" s="2"/>
      <c r="C16" s="13">
        <v>48884</v>
      </c>
      <c r="D16" s="54">
        <f t="shared" si="0"/>
        <v>7625.9999999999982</v>
      </c>
    </row>
    <row r="17" spans="1:7" x14ac:dyDescent="0.25">
      <c r="A17" s="5">
        <f>SUM($D$3:D17)</f>
        <v>-47038.89</v>
      </c>
      <c r="B17" s="2"/>
      <c r="C17" s="13">
        <v>49249</v>
      </c>
      <c r="D17" s="54">
        <f t="shared" si="0"/>
        <v>7625.9999999999982</v>
      </c>
    </row>
    <row r="18" spans="1:7" x14ac:dyDescent="0.25">
      <c r="A18" s="5">
        <f>SUM($D$3:D18)</f>
        <v>-39412.89</v>
      </c>
      <c r="B18" s="2"/>
      <c r="C18" s="13">
        <v>49614</v>
      </c>
      <c r="D18" s="54">
        <f t="shared" si="0"/>
        <v>7625.9999999999982</v>
      </c>
    </row>
    <row r="19" spans="1:7" x14ac:dyDescent="0.25">
      <c r="A19" s="5">
        <f>SUM($D$3:D19)</f>
        <v>-31786.89</v>
      </c>
      <c r="B19" s="2"/>
      <c r="C19" s="13">
        <v>49980</v>
      </c>
      <c r="D19" s="54">
        <f t="shared" si="0"/>
        <v>7625.9999999999982</v>
      </c>
    </row>
    <row r="20" spans="1:7" x14ac:dyDescent="0.25">
      <c r="A20" s="5">
        <f>SUM($D$3:D20)</f>
        <v>-24160.89</v>
      </c>
      <c r="B20" s="2"/>
      <c r="C20" s="13">
        <v>50345</v>
      </c>
      <c r="D20" s="54">
        <f t="shared" si="0"/>
        <v>7625.9999999999982</v>
      </c>
    </row>
    <row r="21" spans="1:7" x14ac:dyDescent="0.25">
      <c r="A21" s="5">
        <f>SUM($D$3:D21)</f>
        <v>-16534.89</v>
      </c>
      <c r="B21" s="2"/>
      <c r="C21" s="13">
        <v>50710</v>
      </c>
      <c r="D21" s="54">
        <f t="shared" si="0"/>
        <v>7625.9999999999982</v>
      </c>
    </row>
    <row r="22" spans="1:7" x14ac:dyDescent="0.25">
      <c r="A22" s="5">
        <f>SUM($D$3:D22)</f>
        <v>-8908.8900000000012</v>
      </c>
      <c r="B22" s="2"/>
      <c r="C22" s="13">
        <v>51075</v>
      </c>
      <c r="D22" s="54">
        <f t="shared" si="0"/>
        <v>7625.9999999999982</v>
      </c>
    </row>
    <row r="23" spans="1:7" x14ac:dyDescent="0.25">
      <c r="A23" s="5">
        <f>SUM($D$3:D23)</f>
        <v>-1282.8900000000031</v>
      </c>
      <c r="B23" s="2"/>
      <c r="C23" s="13">
        <v>51441</v>
      </c>
      <c r="D23" s="54">
        <f t="shared" si="0"/>
        <v>7625.9999999999982</v>
      </c>
    </row>
    <row r="24" spans="1:7" x14ac:dyDescent="0.25">
      <c r="A24" s="5">
        <f>SUM($D$3:D24)</f>
        <v>6343.1099999999951</v>
      </c>
      <c r="B24" s="2"/>
      <c r="C24" s="13">
        <v>51806</v>
      </c>
      <c r="D24" s="54">
        <f t="shared" si="0"/>
        <v>7625.9999999999982</v>
      </c>
    </row>
    <row r="25" spans="1:7" x14ac:dyDescent="0.25">
      <c r="A25" s="5">
        <f>SUM($D$3:D25)</f>
        <v>13969.109999999993</v>
      </c>
      <c r="B25" s="2"/>
      <c r="C25" s="13">
        <v>52171</v>
      </c>
      <c r="D25" s="54">
        <f t="shared" si="0"/>
        <v>7625.9999999999982</v>
      </c>
    </row>
    <row r="26" spans="1:7" x14ac:dyDescent="0.25">
      <c r="A26" s="5">
        <f>SUM($D$3:D26)</f>
        <v>21595.109999999993</v>
      </c>
      <c r="B26" s="2"/>
      <c r="C26" s="13">
        <v>52536</v>
      </c>
      <c r="D26" s="54">
        <f t="shared" si="0"/>
        <v>7625.9999999999982</v>
      </c>
    </row>
    <row r="27" spans="1:7" x14ac:dyDescent="0.25">
      <c r="A27" s="5">
        <f>SUM($D$3:D27)</f>
        <v>29221.109999999993</v>
      </c>
      <c r="B27" s="2" t="s">
        <v>61</v>
      </c>
      <c r="C27" s="13">
        <v>52902</v>
      </c>
      <c r="D27" s="54">
        <f t="shared" si="0"/>
        <v>7625.9999999999982</v>
      </c>
    </row>
    <row r="28" spans="1:7" x14ac:dyDescent="0.25">
      <c r="A28" s="5">
        <f>SUM($D$3:D28)</f>
        <v>127621.10999999999</v>
      </c>
      <c r="B28" s="2">
        <f>XIRR(D3:D28,C3:C28)</f>
        <v>5.6375792622566229E-2</v>
      </c>
      <c r="C28" s="13">
        <v>53267</v>
      </c>
      <c r="D28" s="54">
        <f>-D3</f>
        <v>98400</v>
      </c>
      <c r="E28" s="6" t="str">
        <f>E9</f>
        <v>surrender FWD to wipe out loan</v>
      </c>
      <c r="F28" s="6"/>
      <c r="G28" s="6"/>
    </row>
    <row r="29" spans="1:7" x14ac:dyDescent="0.25">
      <c r="A29" s="5"/>
      <c r="B29" s="2"/>
    </row>
    <row r="31" spans="1:7" x14ac:dyDescent="0.25">
      <c r="A31" s="5"/>
      <c r="B31" s="2"/>
    </row>
  </sheetData>
  <mergeCells count="1">
    <mergeCell ref="A7:B7"/>
  </mergeCells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74-01E4-460C-874E-5FDFF94A143D}">
  <dimension ref="A1:R27"/>
  <sheetViews>
    <sheetView workbookViewId="0">
      <selection activeCell="E4" sqref="E4:R4"/>
    </sheetView>
  </sheetViews>
  <sheetFormatPr defaultRowHeight="15" x14ac:dyDescent="0.25"/>
  <cols>
    <col min="1" max="1" width="9.85546875" bestFit="1" customWidth="1"/>
    <col min="2" max="2" width="9.85546875" customWidth="1"/>
    <col min="3" max="3" width="1.5703125" customWidth="1"/>
    <col min="4" max="4" width="5" bestFit="1" customWidth="1"/>
  </cols>
  <sheetData>
    <row r="1" spans="1:18" x14ac:dyDescent="0.25">
      <c r="B1" t="s">
        <v>2</v>
      </c>
      <c r="D1" t="s">
        <v>1</v>
      </c>
      <c r="E1" s="27">
        <f>XIRR(B2:B27,A2:A27)</f>
        <v>2.9978230595588677E-2</v>
      </c>
    </row>
    <row r="2" spans="1:18" x14ac:dyDescent="0.25">
      <c r="A2" s="1">
        <v>36526</v>
      </c>
      <c r="B2">
        <v>-100</v>
      </c>
    </row>
    <row r="3" spans="1:18" x14ac:dyDescent="0.25">
      <c r="A3" s="1">
        <v>36892</v>
      </c>
      <c r="B3">
        <v>3</v>
      </c>
      <c r="E3" s="69" t="s">
        <v>85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spans="1:18" x14ac:dyDescent="0.25">
      <c r="A4" s="1">
        <v>37257</v>
      </c>
      <c r="B4">
        <v>3</v>
      </c>
      <c r="E4" s="69" t="s">
        <v>84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5" spans="1:18" x14ac:dyDescent="0.25">
      <c r="A5" s="1">
        <v>37622</v>
      </c>
      <c r="B5">
        <v>3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 spans="1:18" x14ac:dyDescent="0.25">
      <c r="A6" s="1">
        <v>37987</v>
      </c>
      <c r="B6">
        <v>3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</row>
    <row r="7" spans="1:18" x14ac:dyDescent="0.25">
      <c r="A7" s="1">
        <v>38353</v>
      </c>
      <c r="B7">
        <v>3</v>
      </c>
    </row>
    <row r="8" spans="1:18" x14ac:dyDescent="0.25">
      <c r="A8" s="1">
        <v>38718</v>
      </c>
      <c r="B8">
        <v>3</v>
      </c>
    </row>
    <row r="9" spans="1:18" x14ac:dyDescent="0.25">
      <c r="A9" s="1">
        <v>39083</v>
      </c>
      <c r="B9">
        <v>3</v>
      </c>
    </row>
    <row r="10" spans="1:18" x14ac:dyDescent="0.25">
      <c r="A10" s="1">
        <v>39448</v>
      </c>
      <c r="B10">
        <v>3</v>
      </c>
    </row>
    <row r="11" spans="1:18" x14ac:dyDescent="0.25">
      <c r="A11" s="1">
        <v>39814</v>
      </c>
      <c r="B11">
        <v>3</v>
      </c>
    </row>
    <row r="12" spans="1:18" x14ac:dyDescent="0.25">
      <c r="A12" s="1">
        <v>40179</v>
      </c>
      <c r="B12">
        <v>3</v>
      </c>
    </row>
    <row r="13" spans="1:18" x14ac:dyDescent="0.25">
      <c r="A13" s="1">
        <v>40544</v>
      </c>
      <c r="B13">
        <v>3</v>
      </c>
    </row>
    <row r="14" spans="1:18" x14ac:dyDescent="0.25">
      <c r="A14" s="1">
        <v>40909</v>
      </c>
      <c r="B14">
        <v>3</v>
      </c>
    </row>
    <row r="15" spans="1:18" x14ac:dyDescent="0.25">
      <c r="A15" s="1">
        <v>41275</v>
      </c>
      <c r="B15">
        <v>3</v>
      </c>
    </row>
    <row r="16" spans="1:18" x14ac:dyDescent="0.25">
      <c r="A16" s="1">
        <v>41640</v>
      </c>
      <c r="B16">
        <v>3</v>
      </c>
    </row>
    <row r="17" spans="1:2" x14ac:dyDescent="0.25">
      <c r="A17" s="1">
        <v>42005</v>
      </c>
      <c r="B17">
        <v>3</v>
      </c>
    </row>
    <row r="18" spans="1:2" x14ac:dyDescent="0.25">
      <c r="A18" s="1">
        <v>42370</v>
      </c>
      <c r="B18">
        <v>3</v>
      </c>
    </row>
    <row r="19" spans="1:2" x14ac:dyDescent="0.25">
      <c r="A19" s="1">
        <v>42736</v>
      </c>
      <c r="B19">
        <v>3</v>
      </c>
    </row>
    <row r="20" spans="1:2" x14ac:dyDescent="0.25">
      <c r="A20" s="1">
        <v>43101</v>
      </c>
      <c r="B20">
        <v>3</v>
      </c>
    </row>
    <row r="21" spans="1:2" x14ac:dyDescent="0.25">
      <c r="A21" s="1">
        <v>43466</v>
      </c>
      <c r="B21">
        <v>3</v>
      </c>
    </row>
    <row r="22" spans="1:2" x14ac:dyDescent="0.25">
      <c r="A22" s="1">
        <v>43831</v>
      </c>
      <c r="B22">
        <v>3</v>
      </c>
    </row>
    <row r="23" spans="1:2" x14ac:dyDescent="0.25">
      <c r="A23" s="1">
        <v>44197</v>
      </c>
      <c r="B23">
        <v>3</v>
      </c>
    </row>
    <row r="24" spans="1:2" x14ac:dyDescent="0.25">
      <c r="A24" s="1">
        <v>44562</v>
      </c>
      <c r="B24">
        <v>3</v>
      </c>
    </row>
    <row r="25" spans="1:2" x14ac:dyDescent="0.25">
      <c r="A25" s="1">
        <v>44927</v>
      </c>
      <c r="B25">
        <v>3</v>
      </c>
    </row>
    <row r="26" spans="1:2" x14ac:dyDescent="0.25">
      <c r="A26" s="1">
        <v>45292</v>
      </c>
      <c r="B26">
        <v>3</v>
      </c>
    </row>
    <row r="27" spans="1:2" x14ac:dyDescent="0.25">
      <c r="A27" s="1">
        <v>45292</v>
      </c>
      <c r="B27">
        <f>-B2</f>
        <v>100</v>
      </c>
    </row>
  </sheetData>
  <mergeCells count="4">
    <mergeCell ref="E3:R3"/>
    <mergeCell ref="E4:R4"/>
    <mergeCell ref="E5:R5"/>
    <mergeCell ref="E6:R6"/>
  </mergeCells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6B5-85E3-4992-A448-D22630C52578}">
  <dimension ref="A2:G30"/>
  <sheetViews>
    <sheetView workbookViewId="0">
      <selection activeCell="E7" sqref="E7"/>
    </sheetView>
  </sheetViews>
  <sheetFormatPr defaultRowHeight="15" x14ac:dyDescent="0.25"/>
  <cols>
    <col min="1" max="1" width="11" bestFit="1" customWidth="1"/>
    <col min="2" max="2" width="7.140625" customWidth="1"/>
    <col min="3" max="3" width="7.28515625" style="3" bestFit="1" customWidth="1"/>
    <col min="4" max="4" width="9.85546875" style="20" customWidth="1"/>
    <col min="5" max="5" width="20" bestFit="1" customWidth="1"/>
    <col min="6" max="6" width="10.28515625" bestFit="1" customWidth="1"/>
  </cols>
  <sheetData>
    <row r="2" spans="1:7" x14ac:dyDescent="0.25">
      <c r="A2" t="s">
        <v>12</v>
      </c>
      <c r="C2" s="4"/>
      <c r="D2" s="20" t="s">
        <v>2</v>
      </c>
    </row>
    <row r="3" spans="1:7" x14ac:dyDescent="0.25">
      <c r="A3" s="5">
        <f>SUM($D$2:D3)</f>
        <v>-30078.95</v>
      </c>
      <c r="B3" s="2"/>
      <c r="C3" s="3">
        <v>45505</v>
      </c>
      <c r="D3" s="20">
        <f>-$G$3/5</f>
        <v>-30078.95</v>
      </c>
      <c r="F3" t="s">
        <v>0</v>
      </c>
      <c r="G3">
        <f>150394.75</f>
        <v>150394.75</v>
      </c>
    </row>
    <row r="4" spans="1:7" x14ac:dyDescent="0.25">
      <c r="A4" s="5">
        <f>SUM($D$2:D4)</f>
        <v>-27371.844499999999</v>
      </c>
      <c r="B4" s="2"/>
      <c r="C4" s="3">
        <v>45566</v>
      </c>
      <c r="D4" s="20">
        <f>1.8%*G3</f>
        <v>2707.1055000000001</v>
      </c>
      <c r="E4" t="s">
        <v>3</v>
      </c>
      <c r="G4" s="5"/>
    </row>
    <row r="5" spans="1:7" x14ac:dyDescent="0.25">
      <c r="A5" s="5">
        <f>SUM($D$2:D5)</f>
        <v>-57450.794500000004</v>
      </c>
      <c r="B5" s="2"/>
      <c r="C5" s="3">
        <v>45870</v>
      </c>
      <c r="D5" s="20">
        <f>-$G$3/5</f>
        <v>-30078.95</v>
      </c>
    </row>
    <row r="6" spans="1:7" x14ac:dyDescent="0.25">
      <c r="A6" s="5">
        <f>SUM($D$2:D6)</f>
        <v>-55570.860125000007</v>
      </c>
      <c r="B6" s="2"/>
      <c r="C6" s="3">
        <v>45870</v>
      </c>
      <c r="D6" s="20">
        <f>(0.0425-0.03)*G3</f>
        <v>1879.9343750000007</v>
      </c>
      <c r="E6" t="s">
        <v>51</v>
      </c>
    </row>
    <row r="7" spans="1:7" x14ac:dyDescent="0.25">
      <c r="A7" s="5">
        <f>SUM($D$2:D7)</f>
        <v>-85649.810125000004</v>
      </c>
      <c r="B7" s="2"/>
      <c r="C7" s="3">
        <v>46235</v>
      </c>
      <c r="D7" s="20">
        <f>-$G$3/5</f>
        <v>-30078.95</v>
      </c>
    </row>
    <row r="8" spans="1:7" x14ac:dyDescent="0.25">
      <c r="A8" s="5">
        <f>SUM($D$2:D8)</f>
        <v>-115728.760125</v>
      </c>
      <c r="B8" s="2"/>
      <c r="C8" s="3">
        <v>46600</v>
      </c>
      <c r="D8" s="20">
        <f>-$G$3/5</f>
        <v>-30078.95</v>
      </c>
    </row>
    <row r="9" spans="1:7" x14ac:dyDescent="0.25">
      <c r="A9" s="5">
        <f>SUM($D$2:D9)</f>
        <v>-145807.71012500001</v>
      </c>
      <c r="B9" s="2"/>
      <c r="C9" s="3">
        <v>46966</v>
      </c>
      <c r="D9" s="20">
        <f>-$G$3/5</f>
        <v>-30078.95</v>
      </c>
    </row>
    <row r="10" spans="1:7" x14ac:dyDescent="0.25">
      <c r="A10" s="5"/>
      <c r="B10" s="2"/>
    </row>
    <row r="11" spans="1:7" x14ac:dyDescent="0.25">
      <c r="A11" s="5">
        <f>SUM($D$2:D11)</f>
        <v>-140707.82415250002</v>
      </c>
      <c r="B11" s="2" t="s">
        <v>1</v>
      </c>
      <c r="C11" s="3">
        <v>47331</v>
      </c>
      <c r="D11" s="20">
        <f>$G$3*0.03391</f>
        <v>5099.8859725000002</v>
      </c>
      <c r="E11" t="s">
        <v>8</v>
      </c>
    </row>
    <row r="12" spans="1:7" x14ac:dyDescent="0.25">
      <c r="A12" s="5">
        <f>SUM($D$2:D12)</f>
        <v>14198.768347499979</v>
      </c>
      <c r="B12" s="2">
        <f>XIRR($D$3:D12,$C$3:C12)</f>
        <v>3.1607630848884585E-2</v>
      </c>
      <c r="C12" s="3">
        <v>47331</v>
      </c>
      <c r="D12" s="20">
        <f>$G$3*1.03</f>
        <v>154906.5925</v>
      </c>
      <c r="E12" t="s">
        <v>9</v>
      </c>
    </row>
    <row r="13" spans="1:7" x14ac:dyDescent="0.25">
      <c r="A13" s="5"/>
      <c r="B13" s="2"/>
    </row>
    <row r="14" spans="1:7" x14ac:dyDescent="0.25">
      <c r="A14" s="5">
        <f>SUM($D$2:D14)</f>
        <v>19298.65431999998</v>
      </c>
      <c r="B14" s="2"/>
      <c r="C14" s="3">
        <v>47696</v>
      </c>
      <c r="D14" s="20">
        <f>$G$3*0.03391</f>
        <v>5099.8859725000002</v>
      </c>
    </row>
    <row r="15" spans="1:7" x14ac:dyDescent="0.25">
      <c r="A15" s="5">
        <f>SUM($D$2:D15)</f>
        <v>24398.54029249998</v>
      </c>
      <c r="B15" s="2"/>
      <c r="C15" s="3">
        <v>48061</v>
      </c>
      <c r="D15" s="20">
        <f t="shared" ref="D15:D28" si="0">$G$3*0.03391</f>
        <v>5099.8859725000002</v>
      </c>
    </row>
    <row r="16" spans="1:7" x14ac:dyDescent="0.25">
      <c r="A16" s="5">
        <f>SUM($D$2:D16)</f>
        <v>29498.42626499998</v>
      </c>
      <c r="B16" s="2"/>
      <c r="C16" s="3">
        <v>48427</v>
      </c>
      <c r="D16" s="20">
        <f t="shared" si="0"/>
        <v>5099.8859725000002</v>
      </c>
    </row>
    <row r="17" spans="1:5" x14ac:dyDescent="0.25">
      <c r="A17" s="5">
        <f>SUM($D$2:D17)</f>
        <v>34598.31223749998</v>
      </c>
      <c r="B17" s="2"/>
      <c r="C17" s="3">
        <v>48792</v>
      </c>
      <c r="D17" s="20">
        <f t="shared" si="0"/>
        <v>5099.8859725000002</v>
      </c>
    </row>
    <row r="18" spans="1:5" x14ac:dyDescent="0.25">
      <c r="A18" s="5">
        <f>SUM($D$2:D18)</f>
        <v>39698.19820999998</v>
      </c>
      <c r="B18" s="2"/>
      <c r="C18" s="3">
        <v>49157</v>
      </c>
      <c r="D18" s="20">
        <f t="shared" si="0"/>
        <v>5099.8859725000002</v>
      </c>
    </row>
    <row r="19" spans="1:5" x14ac:dyDescent="0.25">
      <c r="A19" s="5">
        <f>SUM($D$2:D19)</f>
        <v>44798.084182499981</v>
      </c>
      <c r="B19" s="2"/>
      <c r="C19" s="3">
        <v>49522</v>
      </c>
      <c r="D19" s="20">
        <f t="shared" si="0"/>
        <v>5099.8859725000002</v>
      </c>
    </row>
    <row r="20" spans="1:5" x14ac:dyDescent="0.25">
      <c r="A20" s="5">
        <f>SUM($D$2:D20)</f>
        <v>49897.970154999981</v>
      </c>
      <c r="B20" s="2"/>
      <c r="C20" s="3">
        <v>49888</v>
      </c>
      <c r="D20" s="20">
        <f t="shared" si="0"/>
        <v>5099.8859725000002</v>
      </c>
    </row>
    <row r="21" spans="1:5" x14ac:dyDescent="0.25">
      <c r="A21" s="5">
        <f>SUM($D$2:D21)</f>
        <v>54997.856127499981</v>
      </c>
      <c r="B21" s="2"/>
      <c r="C21" s="3">
        <v>50253</v>
      </c>
      <c r="D21" s="20">
        <f t="shared" si="0"/>
        <v>5099.8859725000002</v>
      </c>
    </row>
    <row r="22" spans="1:5" x14ac:dyDescent="0.25">
      <c r="A22" s="5">
        <f>SUM($D$2:D22)</f>
        <v>60097.742099999981</v>
      </c>
      <c r="B22" s="2"/>
      <c r="C22" s="3">
        <v>50618</v>
      </c>
      <c r="D22" s="20">
        <f t="shared" si="0"/>
        <v>5099.8859725000002</v>
      </c>
    </row>
    <row r="23" spans="1:5" x14ac:dyDescent="0.25">
      <c r="A23" s="5">
        <f>SUM($D$2:D23)</f>
        <v>65197.628072499981</v>
      </c>
      <c r="B23" s="2"/>
      <c r="C23" s="3">
        <v>50983</v>
      </c>
      <c r="D23" s="20">
        <f t="shared" si="0"/>
        <v>5099.8859725000002</v>
      </c>
    </row>
    <row r="24" spans="1:5" x14ac:dyDescent="0.25">
      <c r="A24" s="5">
        <f>SUM($D$2:D24)</f>
        <v>70297.514044999989</v>
      </c>
      <c r="B24" s="2"/>
      <c r="C24" s="3">
        <v>51349</v>
      </c>
      <c r="D24" s="20">
        <f t="shared" si="0"/>
        <v>5099.8859725000002</v>
      </c>
    </row>
    <row r="25" spans="1:5" x14ac:dyDescent="0.25">
      <c r="A25" s="5">
        <f>SUM($D$2:D25)</f>
        <v>75397.400017499982</v>
      </c>
      <c r="B25" s="2"/>
      <c r="C25" s="3">
        <v>51714</v>
      </c>
      <c r="D25" s="20">
        <f t="shared" si="0"/>
        <v>5099.8859725000002</v>
      </c>
    </row>
    <row r="26" spans="1:5" x14ac:dyDescent="0.25">
      <c r="A26" s="5">
        <f>SUM($D$2:D26)</f>
        <v>80497.285989999975</v>
      </c>
      <c r="B26" s="2"/>
      <c r="C26" s="3">
        <v>52079</v>
      </c>
      <c r="D26" s="20">
        <f t="shared" si="0"/>
        <v>5099.8859725000002</v>
      </c>
    </row>
    <row r="27" spans="1:5" x14ac:dyDescent="0.25">
      <c r="A27" s="5">
        <f>SUM($D$2:D27)</f>
        <v>85597.171962499968</v>
      </c>
      <c r="B27" s="2"/>
      <c r="C27" s="3">
        <v>52444</v>
      </c>
      <c r="D27" s="20">
        <f t="shared" si="0"/>
        <v>5099.8859725000002</v>
      </c>
    </row>
    <row r="28" spans="1:5" x14ac:dyDescent="0.25">
      <c r="A28" s="5">
        <f>SUM($D$2:D28)</f>
        <v>90697.057934999961</v>
      </c>
      <c r="B28" s="2"/>
      <c r="C28" s="3">
        <v>52810</v>
      </c>
      <c r="D28" s="20">
        <f t="shared" si="0"/>
        <v>5099.8859725000002</v>
      </c>
    </row>
    <row r="29" spans="1:5" x14ac:dyDescent="0.25">
      <c r="A29" s="5">
        <f>SUM($D$2:D29)</f>
        <v>95208.90043499996</v>
      </c>
      <c r="C29" s="3">
        <v>52810</v>
      </c>
      <c r="D29" s="20">
        <f>$G$3*3%</f>
        <v>4511.8424999999997</v>
      </c>
      <c r="E29" t="s">
        <v>11</v>
      </c>
    </row>
    <row r="30" spans="1:5" x14ac:dyDescent="0.25">
      <c r="A30" s="5">
        <f>SUM($D$2:D30)</f>
        <v>245603.65043499996</v>
      </c>
      <c r="B30" s="24">
        <f>IF(0=D12,XIRR(D3:D30,C3:C30),0)</f>
        <v>0</v>
      </c>
      <c r="C30" s="3">
        <v>52810</v>
      </c>
      <c r="D30" s="20">
        <f>$G$3</f>
        <v>150394.75</v>
      </c>
      <c r="E30" t="s">
        <v>9</v>
      </c>
    </row>
  </sheetData>
  <pageMargins left="0.7" right="0.7" top="0.75" bottom="0.75" header="0.3" footer="0.3"/>
  <pageSetup orientation="portrait" horizontalDpi="4294967293" r:id="rId1"/>
  <ignoredErrors>
    <ignoredError sqref="D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C8CF-8E7A-4ADA-A831-33688E2F8CF5}">
  <dimension ref="A2:G30"/>
  <sheetViews>
    <sheetView topLeftCell="A2" workbookViewId="0">
      <selection activeCell="D12" sqref="D12"/>
    </sheetView>
  </sheetViews>
  <sheetFormatPr defaultRowHeight="15" x14ac:dyDescent="0.25"/>
  <cols>
    <col min="1" max="1" width="11" bestFit="1" customWidth="1"/>
    <col min="2" max="2" width="7.140625" customWidth="1"/>
    <col min="3" max="3" width="7.28515625" style="3" bestFit="1" customWidth="1"/>
    <col min="4" max="4" width="9.85546875" style="20" customWidth="1"/>
    <col min="5" max="5" width="20" bestFit="1" customWidth="1"/>
    <col min="6" max="6" width="10.28515625" bestFit="1" customWidth="1"/>
  </cols>
  <sheetData>
    <row r="2" spans="1:7" x14ac:dyDescent="0.25">
      <c r="A2" t="s">
        <v>12</v>
      </c>
      <c r="C2" s="4"/>
      <c r="D2" s="20" t="s">
        <v>2</v>
      </c>
    </row>
    <row r="3" spans="1:7" x14ac:dyDescent="0.25">
      <c r="A3" s="5">
        <f>SUM($D$2:D3)</f>
        <v>-24000</v>
      </c>
      <c r="B3" s="2"/>
      <c r="C3" s="3">
        <v>45505</v>
      </c>
      <c r="D3" s="20">
        <f>-$G$3/5</f>
        <v>-24000</v>
      </c>
      <c r="F3" t="s">
        <v>0</v>
      </c>
      <c r="G3">
        <v>120000</v>
      </c>
    </row>
    <row r="4" spans="1:7" x14ac:dyDescent="0.25">
      <c r="A4" s="5">
        <f>SUM($D$2:D4)</f>
        <v>-23640</v>
      </c>
      <c r="B4" s="2"/>
      <c r="C4" s="3">
        <v>45566</v>
      </c>
      <c r="D4" s="20">
        <v>360</v>
      </c>
      <c r="G4" s="5"/>
    </row>
    <row r="5" spans="1:7" x14ac:dyDescent="0.25">
      <c r="A5" s="5">
        <f>SUM($D$2:D5)</f>
        <v>-47640</v>
      </c>
      <c r="B5" s="2"/>
      <c r="C5" s="3">
        <v>45870</v>
      </c>
      <c r="D5" s="20">
        <f>-$G$3/5</f>
        <v>-24000</v>
      </c>
    </row>
    <row r="6" spans="1:7" x14ac:dyDescent="0.25">
      <c r="A6" s="5">
        <f>SUM($D$2:D6)</f>
        <v>-45240</v>
      </c>
      <c r="B6" s="2"/>
      <c r="C6" s="3">
        <v>45689</v>
      </c>
      <c r="D6" s="20">
        <f>2.4%*100000</f>
        <v>2400</v>
      </c>
      <c r="E6" t="s">
        <v>52</v>
      </c>
    </row>
    <row r="7" spans="1:7" x14ac:dyDescent="0.25">
      <c r="A7" s="5">
        <f>SUM($D$2:D7)</f>
        <v>-69240</v>
      </c>
      <c r="B7" s="2"/>
      <c r="C7" s="3">
        <v>46235</v>
      </c>
      <c r="D7" s="20">
        <f>-$G$3/5</f>
        <v>-24000</v>
      </c>
    </row>
    <row r="8" spans="1:7" x14ac:dyDescent="0.25">
      <c r="A8" s="5">
        <f>SUM($D$2:D8)</f>
        <v>-93240</v>
      </c>
      <c r="B8" s="2"/>
      <c r="C8" s="3">
        <v>46600</v>
      </c>
      <c r="D8" s="20">
        <f>-$G$3/5</f>
        <v>-24000</v>
      </c>
    </row>
    <row r="9" spans="1:7" x14ac:dyDescent="0.25">
      <c r="A9" s="5">
        <f>SUM($D$2:D9)</f>
        <v>-117240</v>
      </c>
      <c r="B9" s="2"/>
      <c r="C9" s="3">
        <v>46966</v>
      </c>
      <c r="D9" s="20">
        <f>-$G$3/5</f>
        <v>-24000</v>
      </c>
    </row>
    <row r="10" spans="1:7" x14ac:dyDescent="0.25">
      <c r="A10" s="5"/>
      <c r="B10" s="2"/>
    </row>
    <row r="11" spans="1:7" x14ac:dyDescent="0.25">
      <c r="A11" s="5">
        <f>SUM($D$2:D11)</f>
        <v>-113160</v>
      </c>
      <c r="B11" s="2" t="s">
        <v>1</v>
      </c>
      <c r="C11" s="3">
        <v>47331</v>
      </c>
      <c r="D11" s="20">
        <f>$G$3*0.034</f>
        <v>4080.0000000000005</v>
      </c>
      <c r="E11" t="s">
        <v>8</v>
      </c>
    </row>
    <row r="12" spans="1:7" x14ac:dyDescent="0.25">
      <c r="A12" s="5">
        <f>SUM($D$2:D12)</f>
        <v>7440</v>
      </c>
      <c r="B12" s="2">
        <f>XIRR($D$3:D12,$C$3:C12)</f>
        <v>2.0815828442573552E-2</v>
      </c>
      <c r="C12" s="3">
        <v>47331</v>
      </c>
      <c r="D12" s="20">
        <f>$G$3+600</f>
        <v>120600</v>
      </c>
      <c r="E12" t="s">
        <v>9</v>
      </c>
    </row>
    <row r="13" spans="1:7" x14ac:dyDescent="0.25">
      <c r="A13" s="5"/>
      <c r="B13" s="2"/>
    </row>
    <row r="14" spans="1:7" x14ac:dyDescent="0.25">
      <c r="A14" s="5">
        <f>SUM($D$2:D14)</f>
        <v>11520</v>
      </c>
      <c r="B14" s="2"/>
      <c r="C14" s="3">
        <v>47696</v>
      </c>
      <c r="D14" s="20">
        <f t="shared" ref="D14:D28" si="0">$G$3*0.034</f>
        <v>4080.0000000000005</v>
      </c>
    </row>
    <row r="15" spans="1:7" x14ac:dyDescent="0.25">
      <c r="A15" s="5">
        <f>SUM($D$2:D15)</f>
        <v>15600</v>
      </c>
      <c r="B15" s="2"/>
      <c r="C15" s="3">
        <v>48061</v>
      </c>
      <c r="D15" s="20">
        <f t="shared" si="0"/>
        <v>4080.0000000000005</v>
      </c>
    </row>
    <row r="16" spans="1:7" x14ac:dyDescent="0.25">
      <c r="A16" s="5">
        <f>SUM($D$2:D16)</f>
        <v>19680</v>
      </c>
      <c r="B16" s="2"/>
      <c r="C16" s="3">
        <v>48427</v>
      </c>
      <c r="D16" s="20">
        <f t="shared" si="0"/>
        <v>4080.0000000000005</v>
      </c>
    </row>
    <row r="17" spans="1:5" x14ac:dyDescent="0.25">
      <c r="A17" s="5">
        <f>SUM($D$2:D17)</f>
        <v>23760</v>
      </c>
      <c r="B17" s="2"/>
      <c r="C17" s="3">
        <v>48792</v>
      </c>
      <c r="D17" s="20">
        <f t="shared" si="0"/>
        <v>4080.0000000000005</v>
      </c>
    </row>
    <row r="18" spans="1:5" x14ac:dyDescent="0.25">
      <c r="A18" s="5">
        <f>SUM($D$2:D18)</f>
        <v>27840</v>
      </c>
      <c r="B18" s="2"/>
      <c r="C18" s="3">
        <v>49157</v>
      </c>
      <c r="D18" s="20">
        <f t="shared" si="0"/>
        <v>4080.0000000000005</v>
      </c>
    </row>
    <row r="19" spans="1:5" x14ac:dyDescent="0.25">
      <c r="A19" s="5">
        <f>SUM($D$2:D19)</f>
        <v>31920</v>
      </c>
      <c r="B19" s="2"/>
      <c r="C19" s="3">
        <v>49522</v>
      </c>
      <c r="D19" s="20">
        <f t="shared" si="0"/>
        <v>4080.0000000000005</v>
      </c>
    </row>
    <row r="20" spans="1:5" x14ac:dyDescent="0.25">
      <c r="A20" s="5">
        <f>SUM($D$2:D20)</f>
        <v>36000</v>
      </c>
      <c r="B20" s="2"/>
      <c r="C20" s="3">
        <v>49888</v>
      </c>
      <c r="D20" s="20">
        <f t="shared" si="0"/>
        <v>4080.0000000000005</v>
      </c>
    </row>
    <row r="21" spans="1:5" x14ac:dyDescent="0.25">
      <c r="A21" s="5">
        <f>SUM($D$2:D21)</f>
        <v>40080</v>
      </c>
      <c r="B21" s="2"/>
      <c r="C21" s="3">
        <v>50253</v>
      </c>
      <c r="D21" s="20">
        <f t="shared" si="0"/>
        <v>4080.0000000000005</v>
      </c>
    </row>
    <row r="22" spans="1:5" x14ac:dyDescent="0.25">
      <c r="A22" s="5">
        <f>SUM($D$2:D22)</f>
        <v>44160</v>
      </c>
      <c r="B22" s="2"/>
      <c r="C22" s="3">
        <v>50618</v>
      </c>
      <c r="D22" s="20">
        <f t="shared" si="0"/>
        <v>4080.0000000000005</v>
      </c>
    </row>
    <row r="23" spans="1:5" x14ac:dyDescent="0.25">
      <c r="A23" s="5">
        <f>SUM($D$2:D23)</f>
        <v>48240</v>
      </c>
      <c r="B23" s="2"/>
      <c r="C23" s="3">
        <v>50983</v>
      </c>
      <c r="D23" s="20">
        <f t="shared" si="0"/>
        <v>4080.0000000000005</v>
      </c>
    </row>
    <row r="24" spans="1:5" x14ac:dyDescent="0.25">
      <c r="A24" s="5">
        <f>SUM($D$2:D24)</f>
        <v>52320</v>
      </c>
      <c r="B24" s="2"/>
      <c r="C24" s="3">
        <v>51349</v>
      </c>
      <c r="D24" s="20">
        <f t="shared" si="0"/>
        <v>4080.0000000000005</v>
      </c>
    </row>
    <row r="25" spans="1:5" x14ac:dyDescent="0.25">
      <c r="A25" s="5">
        <f>SUM($D$2:D25)</f>
        <v>56400</v>
      </c>
      <c r="B25" s="2"/>
      <c r="C25" s="3">
        <v>51714</v>
      </c>
      <c r="D25" s="20">
        <f t="shared" si="0"/>
        <v>4080.0000000000005</v>
      </c>
    </row>
    <row r="26" spans="1:5" x14ac:dyDescent="0.25">
      <c r="A26" s="5">
        <f>SUM($D$2:D26)</f>
        <v>60480</v>
      </c>
      <c r="B26" s="2"/>
      <c r="C26" s="3">
        <v>52079</v>
      </c>
      <c r="D26" s="20">
        <f t="shared" si="0"/>
        <v>4080.0000000000005</v>
      </c>
    </row>
    <row r="27" spans="1:5" x14ac:dyDescent="0.25">
      <c r="A27" s="5">
        <f>SUM($D$2:D27)</f>
        <v>64560</v>
      </c>
      <c r="B27" s="2"/>
      <c r="C27" s="3">
        <v>52444</v>
      </c>
      <c r="D27" s="20">
        <f t="shared" si="0"/>
        <v>4080.0000000000005</v>
      </c>
    </row>
    <row r="28" spans="1:5" x14ac:dyDescent="0.25">
      <c r="A28" s="5">
        <f>SUM($D$2:D28)</f>
        <v>68640</v>
      </c>
      <c r="B28" s="2"/>
      <c r="C28" s="3">
        <v>52810</v>
      </c>
      <c r="D28" s="20">
        <f t="shared" si="0"/>
        <v>4080.0000000000005</v>
      </c>
    </row>
    <row r="29" spans="1:5" x14ac:dyDescent="0.25">
      <c r="A29" s="5">
        <f>SUM($D$2:D29)</f>
        <v>72240</v>
      </c>
      <c r="C29" s="3">
        <v>52810</v>
      </c>
      <c r="D29" s="20">
        <f>$G$3*3%</f>
        <v>3600</v>
      </c>
      <c r="E29" t="s">
        <v>11</v>
      </c>
    </row>
    <row r="30" spans="1:5" x14ac:dyDescent="0.25">
      <c r="A30" s="5">
        <f>SUM($D$2:D30)</f>
        <v>192240</v>
      </c>
      <c r="B30" s="24">
        <f>IF(0=D12,XIRR(D3:D30,C3:C30),0)</f>
        <v>0</v>
      </c>
      <c r="C30" s="3">
        <v>52810</v>
      </c>
      <c r="D30" s="20">
        <f>$G$3</f>
        <v>120000</v>
      </c>
      <c r="E30" t="s">
        <v>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Fli2pf 200k</vt:lpstr>
      <vt:lpstr>FWD300</vt:lpstr>
      <vt:lpstr>FWD317</vt:lpstr>
      <vt:lpstr>overlap ptf</vt:lpstr>
      <vt:lpstr>FLI2</vt:lpstr>
      <vt:lpstr>FLI2PF</vt:lpstr>
      <vt:lpstr>FWD41</vt:lpstr>
      <vt:lpstr>xirr test</vt:lpstr>
      <vt:lpstr>LTIS</vt:lpstr>
      <vt:lpstr>Taiping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dcterms:created xsi:type="dcterms:W3CDTF">2023-08-09T09:59:57Z</dcterms:created>
  <dcterms:modified xsi:type="dcterms:W3CDTF">2024-11-04T07:13:19Z</dcterms:modified>
</cp:coreProperties>
</file>