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7CAB404-9B2E-4CC6-AFD2-328CEDB6358F}" xr6:coauthVersionLast="47" xr6:coauthVersionMax="47" xr10:uidLastSave="{00000000-0000-0000-0000-000000000000}"/>
  <bookViews>
    <workbookView xWindow="30" yWindow="-21720" windowWidth="38640" windowHeight="2139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tBill" sheetId="48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29" i="32" l="1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NS32" i="32"/>
  <c r="AR36" i="44" l="1"/>
  <c r="AR38" i="44" s="1"/>
  <c r="AV36" i="44"/>
  <c r="AV38" i="44" s="1"/>
  <c r="NQ9" i="32"/>
  <c r="NQ12" i="32"/>
  <c r="NS20" i="32"/>
  <c r="NQ32" i="32" s="1"/>
  <c r="NU20" i="32" l="1"/>
  <c r="NS17" i="32"/>
  <c r="NS16" i="32"/>
  <c r="NS14" i="32"/>
  <c r="NS39" i="32"/>
  <c r="NQ16" i="32"/>
  <c r="NQ2" i="32" s="1"/>
  <c r="NS15" i="32" l="1"/>
  <c r="NM17" i="32"/>
  <c r="NK30" i="32" s="1"/>
  <c r="MY30" i="32"/>
  <c r="NS34" i="32" l="1"/>
  <c r="NS5" i="32" s="1"/>
  <c r="NQ29" i="32"/>
  <c r="NQ31" i="32"/>
  <c r="NQ26" i="32"/>
  <c r="NQ27" i="32"/>
  <c r="NQ28" i="32"/>
  <c r="NQ30" i="32"/>
  <c r="NU2" i="32" l="1"/>
  <c r="NO32" i="32"/>
  <c r="NM14" i="32" l="1"/>
  <c r="NM15" i="32"/>
  <c r="NK15" i="32"/>
  <c r="NK21" i="32"/>
  <c r="NM11" i="32" l="1"/>
  <c r="NL30" i="32" l="1"/>
  <c r="NO21" i="32" l="1"/>
  <c r="NO2" i="32" s="1"/>
  <c r="NS2" i="32" s="1"/>
  <c r="NS3" i="32" l="1"/>
  <c r="NS4" i="32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<sst xmlns="http://schemas.openxmlformats.org/spreadsheetml/2006/main" count="8835" uniqueCount="3629">
  <si>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</si>
  <si>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</si>
  <si>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</si>
  <si>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</si>
  <si>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</si>
  <si>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</si>
  <si>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</si>
  <si>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</si>
  <si>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</si>
  <si>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</si>
  <si>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</si>
  <si>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</si>
  <si>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</si>
  <si>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</si>
  <si>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</si>
  <si>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</si>
  <si>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</si>
  <si>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</si>
  <si>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</si>
  <si>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</si>
  <si>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</si>
  <si>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</si>
  <si>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</si>
  <si>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</si>
  <si>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</si>
  <si>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</si>
  <si>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</si>
  <si>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</si>
  <si>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</si>
  <si>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</si>
  <si>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</si>
  <si>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</si>
  <si>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</si>
  <si>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</si>
  <si>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</si>
  <si>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</si>
  <si>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</si>
  <si>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</si>
  <si>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</si>
  <si>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</si>
  <si>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</si>
  <si>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</si>
  <si>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</si>
  <si>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</si>
  <si>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</si>
  <si>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</si>
  <si>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</si>
  <si>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</si>
  <si>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</si>
  <si>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</si>
  <si>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</si>
  <si>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</si>
  <si>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</si>
  <si>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</si>
  <si>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</si>
  <si>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</si>
  <si>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</si>
  <si>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</si>
  <si>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</si>
  <si>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</si>
  <si>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</si>
  <si>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</si>
  <si>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</si>
  <si>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</si>
  <si>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</si>
  <si>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</si>
  <si>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</si>
  <si>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</si>
  <si>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</si>
  <si>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</si>
  <si>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</si>
  <si>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</si>
  <si>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</si>
  <si>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</si>
  <si>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</si>
  <si>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</si>
  <si>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</si>
  <si>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</si>
  <si>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</si>
  <si>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</si>
  <si>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</si>
  <si>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</si>
  <si>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</si>
  <si>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</si>
  <si>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</si>
  <si>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</si>
  <si>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</si>
  <si>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</si>
  <si>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</si>
  <si>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</si>
  <si>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</si>
  <si>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</si>
  <si>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</si>
  <si>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</si>
  <si>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</si>
  <si>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</si>
  <si>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</si>
  <si>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</si>
  <si>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</si>
  <si>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</si>
  <si>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</si>
  <si>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</si>
  <si>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</si>
  <si>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</si>
  <si>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</si>
  <si>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</si>
  <si>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</si>
  <si>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</si>
  <si>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</si>
  <si>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</si>
  <si>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</si>
  <si>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</si>
  <si>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</si>
  <si>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</si>
  <si>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</si>
  <si>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</si>
  <si>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</si>
  <si>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</si>
  <si>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</si>
  <si>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</si>
  <si>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</si>
  <si>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</si>
  <si>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</si>
  <si>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</si>
  <si>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</si>
  <si>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</si>
  <si>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</si>
  <si>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</si>
  <si>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</si>
  <si>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</si>
  <si>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</si>
  <si>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</si>
  <si>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</si>
  <si>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</si>
  <si>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</si>
  <si>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</si>
  <si>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</si>
  <si>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</si>
  <si>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</si>
  <si>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</si>
  <si>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</si>
  <si>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</si>
  <si>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</si>
  <si>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</si>
  <si>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</si>
  <si>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</si>
  <si>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</si>
  <si>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</si>
  <si>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</si>
  <si>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</si>
  <si>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</si>
  <si>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</si>
  <si>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</si>
  <si>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</si>
  <si>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</si>
  <si>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</si>
  <si>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</si>
  <si>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</si>
  <si>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</si>
  <si>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</si>
  <si>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</si>
  <si>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</si>
  <si>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</si>
  <si>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</si>
  <si>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</si>
  <si>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</si>
  <si>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</si>
  <si>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</si>
  <si>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</si>
  <si>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</si>
  <si>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</si>
  <si>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</si>
  <si>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</si>
  <si>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</si>
  <si>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</si>
  <si>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</si>
  <si>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</si>
  <si>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</si>
  <si>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</si>
  <si>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</si>
  <si>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</si>
  <si>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</si>
  <si>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</si>
  <si>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</si>
  <si>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</si>
  <si>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</si>
  <si>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</si>
  <si>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</si>
  <si>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</si>
  <si>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</si>
  <si>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</si>
  <si>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</si>
  <si>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</si>
  <si>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</si>
  <si>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</si>
  <si>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</si>
  <si>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</si>
  <si>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</si>
  <si>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</si>
  <si>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</si>
  <si>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</si>
  <si>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</si>
  <si>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</si>
  <si>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</si>
  <si>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</si>
  <si>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</si>
  <si>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</si>
  <si>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</si>
  <si>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</si>
  <si>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</si>
  <si>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</si>
  <si>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</si>
  <si>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</si>
  <si>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</si>
  <si>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</si>
  <si>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</si>
  <si>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</si>
  <si>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</si>
  <si>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</si>
  <si>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</si>
  <si>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</si>
  <si>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</si>
  <si>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</si>
  <si>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</si>
  <si>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</si>
  <si>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</si>
  <si>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</si>
  <si>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</si>
  <si>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</si>
  <si>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</si>
  <si>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</si>
  <si>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</si>
  <si>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</si>
  <si>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</si>
  <si>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</si>
  <si>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</si>
  <si>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</si>
  <si>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</si>
  <si>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</si>
  <si>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</si>
  <si>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</si>
  <si>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</si>
  <si>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</si>
  <si>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</si>
  <si>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</si>
  <si>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</si>
  <si>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</si>
  <si>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</si>
  <si>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</si>
  <si>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</si>
  <si>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</si>
  <si>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</si>
  <si>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</si>
  <si>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</si>
  <si>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</si>
  <si>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</si>
  <si>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</si>
  <si>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</si>
  <si>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</si>
  <si>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</si>
  <si>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</si>
  <si>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</si>
  <si>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</si>
  <si>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</si>
  <si>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</si>
  <si>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</si>
  <si>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</si>
  <si>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</si>
  <si>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</si>
  <si>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</si>
  <si>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</si>
  <si>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</si>
  <si>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</si>
  <si>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</si>
  <si>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</si>
  <si>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</si>
  <si>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</si>
  <si>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</si>
  <si>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</si>
  <si>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</si>
  <si>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</si>
  <si>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</si>
  <si>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</si>
  <si>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</si>
  <si>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</si>
  <si>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</si>
  <si>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</si>
  <si>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</si>
  <si>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</si>
  <si>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</si>
  <si>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</si>
  <si>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</si>
  <si>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</si>
  <si>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</si>
  <si>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</si>
  <si>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</si>
  <si>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</si>
  <si>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</si>
  <si>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</si>
  <si>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</si>
  <si>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</si>
  <si>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</si>
  <si>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</si>
  <si>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</si>
  <si>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</si>
  <si>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</si>
  <si>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</si>
  <si>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</si>
  <si>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</si>
  <si>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</si>
  <si>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</si>
  <si>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</si>
  <si>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</si>
  <si>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</si>
  <si>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</si>
  <si>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</si>
  <si>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</si>
  <si>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</si>
  <si>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</si>
  <si>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</si>
  <si>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</si>
  <si>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</si>
  <si>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</si>
  <si>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</si>
  <si>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</si>
  <si>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</si>
  <si>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</si>
  <si>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</si>
  <si>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</si>
  <si>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</si>
  <si>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</si>
  <si>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</si>
  <si>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</si>
  <si>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</si>
  <si>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</si>
  <si>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</si>
  <si>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</si>
  <si>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</si>
  <si>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</si>
  <si>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</si>
  <si>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</si>
  <si>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</si>
  <si>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</si>
  <si>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</si>
  <si>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</si>
  <si>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</si>
  <si>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</si>
  <si>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</si>
  <si>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</si>
  <si>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</si>
  <si>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</si>
  <si>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</si>
  <si>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</si>
  <si>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</si>
  <si>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</si>
  <si>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</si>
  <si>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</si>
  <si>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</si>
  <si>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</si>
  <si>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</si>
  <si>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</si>
  <si>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</si>
  <si>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</si>
  <si>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</si>
  <si>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</si>
  <si>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</si>
  <si>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</si>
  <si>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</si>
  <si>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</si>
  <si>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</si>
  <si>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</si>
  <si>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</si>
  <si>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</si>
  <si>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</si>
  <si>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</si>
  <si>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</si>
  <si>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</si>
  <si>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</si>
  <si>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</si>
  <si>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</si>
  <si>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</si>
  <si>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</si>
  <si>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</si>
  <si>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</si>
  <si>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</si>
  <si>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</si>
  <si>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</si>
  <si>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</si>
  <si>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</si>
  <si>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</si>
  <si>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</si>
  <si>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</si>
  <si>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</si>
  <si>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</si>
  <si>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</si>
  <si>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</si>
  <si>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</si>
  <si>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</si>
  <si>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</si>
  <si>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</si>
  <si>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</si>
  <si>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</si>
  <si>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</si>
  <si>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</si>
  <si>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</si>
  <si>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</si>
  <si>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</si>
  <si>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</si>
  <si>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</si>
  <si>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</si>
  <si>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</si>
  <si>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</si>
  <si>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</si>
  <si>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</si>
  <si>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</si>
  <si>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</si>
  <si>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</si>
  <si>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</si>
  <si>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</si>
  <si>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</si>
  <si>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</si>
  <si>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</si>
  <si>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</si>
  <si>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</si>
  <si>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</si>
  <si>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</si>
  <si>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</si>
  <si>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</si>
  <si>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</si>
  <si>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</si>
  <si>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</si>
  <si>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</si>
  <si>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</si>
  <si>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</si>
  <si>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</si>
  <si>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</si>
  <si>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</si>
  <si>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</si>
  <si>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</si>
  <si>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</si>
  <si>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</si>
  <si>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</si>
  <si>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</si>
  <si>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</si>
  <si>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</si>
  <si>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</si>
  <si>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</si>
  <si>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</si>
  <si>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</si>
  <si>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</si>
  <si>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</si>
  <si>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</si>
  <si>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</si>
  <si>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</si>
  <si>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</si>
  <si>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</si>
  <si>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</si>
  <si>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</si>
  <si>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</si>
  <si>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</si>
  <si>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</si>
  <si>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</si>
  <si>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</si>
  <si>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</si>
  <si>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</si>
  <si>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</si>
  <si>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</si>
  <si>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</si>
  <si>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</si>
  <si>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</si>
  <si>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</si>
  <si>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</si>
  <si>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</si>
  <si>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</si>
  <si>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</si>
  <si>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</si>
  <si>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</si>
  <si>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</si>
  <si>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</si>
  <si>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</si>
  <si>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</si>
  <si>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</si>
  <si>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</si>
  <si>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</si>
  <si>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</si>
  <si>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</si>
  <si>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</si>
  <si>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</si>
  <si>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</si>
  <si>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</si>
  <si>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</si>
  <si>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</si>
  <si>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</si>
  <si>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</si>
  <si>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</si>
  <si>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</si>
  <si>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</si>
  <si>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</si>
  <si>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</si>
  <si>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</si>
  <si>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</si>
  <si>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</si>
  <si>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</si>
  <si>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</si>
  <si>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</si>
  <si>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</si>
  <si>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</si>
  <si>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</si>
  <si>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</si>
  <si>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</si>
  <si>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</si>
  <si>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</si>
  <si>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</si>
  <si>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</si>
  <si>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</si>
  <si>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</si>
  <si>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</si>
  <si>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</si>
  <si>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</si>
  <si>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</si>
  <si>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</si>
  <si>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</si>
  <si>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</si>
  <si>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</si>
  <si>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</si>
  <si>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</si>
  <si>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</si>
  <si>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</si>
  <si>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</si>
  <si>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</si>
  <si>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</si>
  <si>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</si>
  <si>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</si>
  <si>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</si>
  <si>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</si>
  <si>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</si>
  <si>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</si>
  <si>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</si>
  <si>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</si>
  <si>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</si>
  <si>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</si>
  <si>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</si>
  <si>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</si>
  <si>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</si>
  <si>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</si>
  <si>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</si>
  <si>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</si>
  <si>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</si>
  <si>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</si>
  <si>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</si>
  <si>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</si>
  <si>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</si>
  <si>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</si>
  <si>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</si>
  <si>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</si>
  <si>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</si>
  <si>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</si>
  <si>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</si>
  <si>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</si>
  <si>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</si>
  <si>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</si>
  <si>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</si>
  <si>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</si>
  <si>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</si>
  <si>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</si>
  <si>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</si>
  <si>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</si>
  <si>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</si>
  <si>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</si>
  <si>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</si>
  <si>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</si>
  <si>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</si>
  <si>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</si>
  <si>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</si>
  <si>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</si>
  <si>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</si>
  <si>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</si>
  <si>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</si>
  <si>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</si>
  <si>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</si>
  <si>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</si>
  <si>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</si>
  <si>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</si>
  <si>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</si>
  <si>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</si>
  <si>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</si>
  <si>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</si>
  <si>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</si>
  <si>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</si>
  <si>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</si>
  <si>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</si>
  <si>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</si>
  <si>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</si>
  <si>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</si>
  <si>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</si>
  <si>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</si>
  <si>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</si>
  <si>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</si>
  <si>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</si>
  <si>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</si>
  <si>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</si>
  <si>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</si>
  <si>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</si>
  <si>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</si>
  <si>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</si>
  <si>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</si>
  <si>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</si>
  <si>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</si>
  <si>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</si>
  <si>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</si>
  <si>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</si>
  <si>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</si>
  <si>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</si>
  <si>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</si>
  <si>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</si>
  <si>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</si>
  <si>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</si>
  <si>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</si>
  <si>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</si>
  <si>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</si>
  <si>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</si>
  <si>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</si>
  <si>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</si>
  <si>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</si>
  <si>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</si>
  <si>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</si>
  <si>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</si>
  <si>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</si>
  <si>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</si>
  <si>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</si>
  <si>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</si>
  <si>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</si>
  <si>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</si>
  <si>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</si>
  <si>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</si>
  <si>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</si>
  <si>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</si>
  <si>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</si>
  <si>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</si>
  <si>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</si>
  <si>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</si>
  <si>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</si>
  <si>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</si>
  <si>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</si>
  <si>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</si>
  <si>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</si>
  <si>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</si>
  <si>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</si>
  <si>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</si>
  <si>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</si>
  <si>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</si>
  <si>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</si>
  <si>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</si>
  <si>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</si>
  <si>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</si>
  <si>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</si>
  <si>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</si>
  <si>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</si>
  <si>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</si>
  <si>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</si>
  <si>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</si>
  <si>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</si>
  <si>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</si>
  <si>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</si>
  <si>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</si>
  <si>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</si>
  <si>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</si>
  <si>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</si>
  <si>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</si>
  <si>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</si>
  <si>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</si>
  <si>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</si>
  <si>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</si>
  <si>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</si>
  <si>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</si>
  <si>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</si>
  <si>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</si>
  <si>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</si>
  <si>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</si>
  <si>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</si>
  <si>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</si>
  <si>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</si>
  <si>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</si>
  <si>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</si>
  <si>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</si>
  <si>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</si>
  <si>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</si>
  <si>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</si>
  <si>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</si>
  <si>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</si>
  <si>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</si>
  <si>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</si>
  <si>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</si>
  <si>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</si>
  <si>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</si>
  <si>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</si>
  <si>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</si>
  <si>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</si>
  <si>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</si>
  <si>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</si>
  <si>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</si>
  <si>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</si>
  <si>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</si>
  <si>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</si>
  <si>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</si>
  <si>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</si>
  <si>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</si>
  <si>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</si>
  <si>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</si>
  <si>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</si>
  <si>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</si>
  <si>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</si>
  <si>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</si>
  <si>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</si>
  <si>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</si>
  <si>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</si>
  <si>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</si>
  <si>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</si>
  <si>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</si>
  <si>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</si>
  <si>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</si>
  <si>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</si>
  <si>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</si>
  <si>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</si>
  <si>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</si>
  <si>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</si>
  <si>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</si>
  <si>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</si>
  <si>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</si>
  <si>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</si>
  <si>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</si>
  <si>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</si>
  <si>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</si>
  <si>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</si>
  <si>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</si>
  <si>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</si>
  <si>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</si>
  <si>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</si>
  <si>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</si>
  <si>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</si>
  <si>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</si>
  <si>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</si>
  <si>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</si>
  <si>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</si>
  <si>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</si>
  <si>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</si>
  <si>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</si>
  <si>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</si>
  <si>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</si>
  <si>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</si>
  <si>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</si>
  <si>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</si>
  <si>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</si>
  <si>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</si>
  <si>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</si>
  <si>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</si>
  <si>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</si>
  <si>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</si>
  <si>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</si>
  <si>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</si>
  <si>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</si>
  <si>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</si>
  <si>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</si>
  <si>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</si>
  <si>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</si>
  <si>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</si>
  <si>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</si>
  <si>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</si>
  <si>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</si>
  <si>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</si>
  <si>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</si>
  <si>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</si>
  <si>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</si>
  <si>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</si>
  <si>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</si>
  <si>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</si>
  <si>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</si>
  <si>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</si>
  <si>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</si>
  <si>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</si>
  <si>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</si>
  <si>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</si>
  <si>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</si>
  <si>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</si>
  <si>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</si>
  <si>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</si>
  <si>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</si>
  <si>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</si>
  <si>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</si>
  <si>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</si>
  <si>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</si>
  <si>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</si>
  <si>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</si>
  <si>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</si>
  <si>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</si>
  <si>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</si>
  <si>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</si>
  <si>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</si>
  <si>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</si>
  <si>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</si>
  <si>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</si>
  <si>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</si>
  <si>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</si>
  <si>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</si>
  <si>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</si>
  <si>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</si>
  <si>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</si>
  <si>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</si>
  <si>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</si>
  <si>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</si>
  <si>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</si>
  <si>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</si>
  <si>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</si>
  <si>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</si>
  <si>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</si>
  <si>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</si>
  <si>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</si>
  <si>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</si>
  <si>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</si>
  <si>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</si>
  <si>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</si>
  <si>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</si>
  <si>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</si>
  <si>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</si>
  <si>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</si>
  <si>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</si>
  <si>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</si>
  <si>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</si>
  <si>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</si>
  <si>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</si>
  <si>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</si>
  <si>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</si>
  <si>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</si>
  <si>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</si>
  <si>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</si>
  <si>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</si>
  <si>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</si>
  <si>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</si>
  <si>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</si>
  <si>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</si>
  <si>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</si>
  <si>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</si>
  <si>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</si>
  <si>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</si>
  <si>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</si>
  <si>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</si>
  <si>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</si>
  <si>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</si>
  <si>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</si>
  <si>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</si>
  <si>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</si>
  <si>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</si>
  <si>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</si>
  <si>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</si>
  <si>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</si>
  <si>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</si>
  <si>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</si>
  <si>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</si>
  <si>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</si>
  <si>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</si>
  <si>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</si>
  <si>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</si>
  <si>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</si>
  <si>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</si>
  <si>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</si>
  <si>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</si>
  <si>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</si>
  <si>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</si>
  <si>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</si>
  <si>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</si>
  <si>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</si>
  <si>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</si>
  <si>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</si>
  <si>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</si>
  <si>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</si>
  <si>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</si>
  <si>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</si>
  <si>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</si>
  <si>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</si>
  <si>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</si>
  <si>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</si>
  <si>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</si>
  <si>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</si>
  <si>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</si>
  <si>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</si>
  <si>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</si>
  <si>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</si>
  <si>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</si>
  <si>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</si>
  <si>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</si>
  <si>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</si>
  <si>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</si>
  <si>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</si>
  <si>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</si>
  <si>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</si>
  <si>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</si>
  <si>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</si>
  <si>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</si>
  <si>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</si>
  <si>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</si>
  <si>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</si>
  <si>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</si>
  <si>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</si>
  <si>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</si>
  <si>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</si>
  <si>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</si>
  <si>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</si>
  <si>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</si>
  <si>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</si>
  <si>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</si>
  <si>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</si>
  <si>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</si>
  <si>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</si>
  <si>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</si>
  <si>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</si>
  <si>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</si>
  <si>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</si>
  <si>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</si>
  <si>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</si>
  <si>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</si>
  <si>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</si>
  <si>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</si>
  <si>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</si>
  <si>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</si>
  <si>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</si>
  <si>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</si>
  <si>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</si>
  <si>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</si>
  <si>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</si>
  <si>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</si>
  <si>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</si>
  <si>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</si>
  <si>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</si>
  <si>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</si>
  <si>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</si>
  <si>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</si>
  <si>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</si>
  <si>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</si>
  <si>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</si>
  <si>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</si>
  <si>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</si>
  <si>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</si>
  <si>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</si>
  <si>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</si>
  <si>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</si>
  <si>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</si>
  <si>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</si>
  <si>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</si>
  <si>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</si>
  <si>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</si>
  <si>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</si>
  <si>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</si>
  <si>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</si>
  <si>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</si>
  <si>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</si>
  <si>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</si>
  <si>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</si>
  <si>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</si>
  <si>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</si>
  <si>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</si>
  <si>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</si>
  <si>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</si>
  <si>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</si>
  <si>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</si>
  <si>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</si>
  <si>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</si>
  <si>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</si>
  <si>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</si>
  <si>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</si>
  <si>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</si>
  <si>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</si>
  <si>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</si>
  <si>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</si>
  <si>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</si>
  <si>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</si>
  <si>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</si>
  <si>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</si>
  <si>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</si>
  <si>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</si>
  <si>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</si>
  <si>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</si>
  <si>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</si>
  <si>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</si>
  <si>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</si>
  <si>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</si>
  <si>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</si>
  <si>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</si>
  <si>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</si>
  <si>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</si>
  <si>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</si>
  <si>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</si>
  <si>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</si>
  <si>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</si>
  <si>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</si>
  <si>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</si>
  <si>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</si>
  <si>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</si>
  <si>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</si>
  <si>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</si>
  <si>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</si>
  <si>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</si>
  <si>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</si>
  <si>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</si>
  <si>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</si>
  <si>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</si>
  <si>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</si>
  <si>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</si>
  <si>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</si>
  <si>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</si>
  <si>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</si>
  <si>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</si>
  <si>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</si>
  <si>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</si>
  <si>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</si>
  <si>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</si>
  <si>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</si>
  <si>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</si>
  <si>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</si>
  <si>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</si>
  <si>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</si>
  <si>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</si>
  <si>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</si>
  <si>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</si>
  <si>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</si>
  <si>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</si>
  <si>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</si>
  <si>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</si>
  <si>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</si>
  <si>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</si>
  <si>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</si>
  <si>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</si>
  <si>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</si>
  <si>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</si>
  <si>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</si>
  <si>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</si>
  <si>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</si>
  <si>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</si>
  <si>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</si>
  <si>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</si>
  <si>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</si>
  <si>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</si>
  <si>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</si>
  <si>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</si>
  <si>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</si>
  <si>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</si>
  <si>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</si>
  <si>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</si>
  <si>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</si>
  <si>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</si>
  <si>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</si>
  <si>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</si>
  <si>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</si>
  <si>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</si>
  <si>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</si>
  <si>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</si>
  <si>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</si>
  <si>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</si>
  <si>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</si>
  <si>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</si>
  <si>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</si>
  <si>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</si>
  <si>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</si>
  <si>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</si>
  <si>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</si>
  <si>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</si>
  <si>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</si>
  <si>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</si>
  <si>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</si>
  <si>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</si>
  <si>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</si>
  <si>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</si>
  <si>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</si>
  <si>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</si>
  <si>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</si>
  <si>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</si>
  <si>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</si>
  <si>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</si>
  <si>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</si>
  <si>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</si>
  <si>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</si>
  <si>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</si>
  <si>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</si>
  <si>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</si>
  <si>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</si>
  <si>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</si>
  <si>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</si>
  <si>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</si>
  <si>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</si>
  <si>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</si>
  <si>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</si>
  <si>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</si>
  <si>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</si>
  <si>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</si>
  <si>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</si>
  <si>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</si>
  <si>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</si>
  <si>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</si>
  <si>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</si>
  <si>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</si>
  <si>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</si>
  <si>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</si>
  <si>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</si>
  <si>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</si>
  <si>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</si>
  <si>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</si>
  <si>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</si>
  <si>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</si>
  <si>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</si>
  <si>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</si>
  <si>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</si>
  <si>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</si>
  <si>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</si>
  <si>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</si>
  <si>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</si>
  <si>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</si>
  <si>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</si>
  <si>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</si>
  <si>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</si>
  <si>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</si>
  <si>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</si>
  <si>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</si>
  <si>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</si>
  <si>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</si>
  <si>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</si>
  <si>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</si>
  <si>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</si>
  <si>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</si>
  <si>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</si>
  <si>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</si>
  <si>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</si>
  <si>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</si>
  <si>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</si>
  <si>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</si>
  <si>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</si>
  <si>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</si>
  <si>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</si>
  <si>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</si>
  <si>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</si>
  <si>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</si>
  <si>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</si>
  <si>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</si>
  <si>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</si>
  <si>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</si>
  <si>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</si>
  <si>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</si>
  <si>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</si>
  <si>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</si>
  <si>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</si>
  <si>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</si>
  <si>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</si>
  <si>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</si>
  <si>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</si>
  <si>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</si>
  <si>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</si>
  <si>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</si>
  <si>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</si>
  <si>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</si>
  <si>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</si>
  <si>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</si>
  <si>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</si>
  <si>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</si>
  <si>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</si>
  <si>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</si>
  <si>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</si>
  <si>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</si>
  <si>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</si>
  <si>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</si>
  <si>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</si>
  <si>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</si>
  <si>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</si>
  <si>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</si>
  <si>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</si>
  <si>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</si>
  <si>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</si>
  <si>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</si>
  <si>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</si>
  <si>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</si>
  <si>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</si>
  <si>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</si>
  <si>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</si>
  <si>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</si>
  <si>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</si>
  <si>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</si>
  <si>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</si>
  <si>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</si>
  <si>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</si>
  <si>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</si>
  <si>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</si>
  <si>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</si>
  <si>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</si>
  <si>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</si>
  <si>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</si>
  <si>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</si>
  <si>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</si>
  <si>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</si>
  <si>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</si>
  <si>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</si>
  <si>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</si>
  <si>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</si>
  <si>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</si>
  <si>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</si>
  <si>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</si>
  <si>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</si>
  <si>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</si>
  <si>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</si>
  <si>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</si>
  <si>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</si>
  <si>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</si>
  <si>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</si>
  <si>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</si>
  <si>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</si>
  <si>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</si>
  <si>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</si>
  <si>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</si>
  <si>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</si>
  <si>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</si>
  <si>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</si>
  <si>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</si>
  <si>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</si>
  <si>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</si>
  <si>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</si>
  <si>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</si>
  <si>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</si>
  <si>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</si>
  <si>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</si>
  <si>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</si>
  <si>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</si>
  <si>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</si>
  <si>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</si>
  <si>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</si>
  <si>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</si>
  <si>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</si>
  <si>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</si>
  <si>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</si>
  <si>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</si>
  <si>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</si>
  <si>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</si>
  <si>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</si>
  <si>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</si>
  <si>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</si>
  <si>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</si>
  <si>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</si>
  <si>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</si>
  <si>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</si>
  <si>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</si>
  <si>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</si>
  <si>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</si>
  <si>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</si>
  <si>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</si>
  <si>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</si>
  <si>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</si>
  <si>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</si>
  <si>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</si>
  <si>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</si>
  <si>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</si>
  <si>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</si>
  <si>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</si>
  <si>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</si>
  <si>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</si>
  <si>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</si>
  <si>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</si>
  <si>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</si>
  <si>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</si>
  <si>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</si>
  <si>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</si>
  <si>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</si>
  <si>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</si>
  <si>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</si>
  <si>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</si>
  <si>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</si>
  <si>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</si>
  <si>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</si>
  <si>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</si>
  <si>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</si>
  <si>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</si>
  <si>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</si>
  <si>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</si>
  <si>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</si>
  <si>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</si>
  <si>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</si>
  <si>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</si>
  <si>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</si>
  <si>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</si>
  <si>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</si>
  <si>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</si>
  <si>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</si>
  <si>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</si>
  <si>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</si>
  <si>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</si>
  <si>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</si>
  <si>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</si>
  <si>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</si>
  <si>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</si>
  <si>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</si>
  <si>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</si>
  <si>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</si>
  <si>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</si>
  <si>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</si>
  <si>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</si>
  <si>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</si>
  <si>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</si>
  <si>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</si>
  <si>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</si>
  <si>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</si>
  <si>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</si>
  <si>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</si>
  <si>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</si>
  <si>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</si>
  <si>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</si>
  <si>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</si>
  <si>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</si>
  <si>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</si>
  <si>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</si>
  <si>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</si>
  <si>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</si>
  <si>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</si>
  <si>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</si>
  <si>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</si>
  <si>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</si>
  <si>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</si>
  <si>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</si>
  <si>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</si>
  <si>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</si>
  <si>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</si>
  <si>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</si>
  <si>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</si>
  <si>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</si>
  <si>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</si>
  <si>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</si>
  <si>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</si>
  <si>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</si>
  <si>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</si>
  <si>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</si>
  <si>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</si>
  <si>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</si>
  <si>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</si>
  <si>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</si>
  <si>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</si>
  <si>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</si>
  <si>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</si>
  <si>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</si>
  <si>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</si>
  <si>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</si>
  <si>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</si>
  <si>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</si>
  <si>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</si>
  <si>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</si>
  <si>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</si>
  <si>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</si>
  <si>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</si>
  <si>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</si>
  <si>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</si>
  <si>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</si>
  <si>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</si>
  <si>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</si>
  <si>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</si>
  <si>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</si>
  <si>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</si>
  <si>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</si>
  <si>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</si>
  <si>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</si>
  <si>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</si>
  <si>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</si>
  <si>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</si>
  <si>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</si>
  <si>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</si>
  <si>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</si>
  <si>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</si>
  <si>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</si>
  <si>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</si>
  <si>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</si>
  <si>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</si>
  <si>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</si>
  <si>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</si>
  <si>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</si>
  <si>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</si>
  <si>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</si>
  <si>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</si>
  <si>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</si>
  <si>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</si>
  <si>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</si>
  <si>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</si>
  <si>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</si>
  <si>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</si>
  <si>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</si>
  <si>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</si>
  <si>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</si>
  <si>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</si>
  <si>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</si>
  <si>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</si>
  <si>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</si>
  <si>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</si>
  <si>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</si>
  <si>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</si>
  <si>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</si>
  <si>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</si>
  <si>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</si>
  <si>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</si>
  <si>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</si>
  <si>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</si>
  <si>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</si>
  <si>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</si>
  <si>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</si>
  <si>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</si>
  <si>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</si>
  <si>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</si>
  <si>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</si>
  <si>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</si>
  <si>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</si>
  <si>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</si>
  <si>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</si>
  <si>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</si>
  <si>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</si>
  <si>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</si>
  <si>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</si>
  <si>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</si>
  <si>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</si>
  <si>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</si>
  <si>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</si>
  <si>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</si>
  <si>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</si>
  <si>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</si>
  <si>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</si>
  <si>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</si>
  <si>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</si>
  <si>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</si>
  <si>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</si>
  <si>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</si>
  <si>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</si>
  <si>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</si>
  <si>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</si>
  <si>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</si>
  <si>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</si>
  <si>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</si>
  <si>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</si>
  <si>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</si>
  <si>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</si>
  <si>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</si>
  <si>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</si>
  <si>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</si>
  <si>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</si>
  <si>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</si>
  <si>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</si>
  <si>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</si>
  <si>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</si>
  <si>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</si>
  <si>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</si>
  <si>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</si>
  <si>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</si>
  <si>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</si>
  <si>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</si>
  <si>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</si>
  <si>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</si>
  <si>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</si>
  <si>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</si>
  <si>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</si>
  <si>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</si>
  <si>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</si>
  <si>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</si>
  <si>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</si>
  <si>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</si>
  <si>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</si>
  <si>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</si>
  <si>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</si>
  <si>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</si>
  <si>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</si>
  <si>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</si>
  <si>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</si>
  <si>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</si>
  <si>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</si>
  <si>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</si>
  <si>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</si>
  <si>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</si>
  <si>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</si>
  <si>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</si>
  <si>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</si>
  <si>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</si>
  <si>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</si>
  <si>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</si>
  <si>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</si>
  <si>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</si>
  <si>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</si>
  <si>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</si>
  <si>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</si>
  <si>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</si>
  <si>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</si>
  <si>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</si>
  <si>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</si>
  <si>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</si>
  <si>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</si>
  <si>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</si>
  <si>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</si>
  <si>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</si>
  <si>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</si>
  <si>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</si>
  <si>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</si>
  <si>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</si>
  <si>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</si>
  <si>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</si>
  <si>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</si>
  <si>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</si>
  <si>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</si>
  <si>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</si>
  <si>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</si>
  <si>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</si>
  <si>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</si>
  <si>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</si>
  <si>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</si>
  <si>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</si>
  <si>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</si>
  <si>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</si>
  <si>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</si>
  <si>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</si>
  <si>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</si>
  <si>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</si>
  <si>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</si>
  <si>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</si>
  <si>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</si>
  <si>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</si>
  <si>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</si>
  <si>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</si>
  <si>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</si>
  <si>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</si>
  <si>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</si>
  <si>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</si>
  <si>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</si>
  <si>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</si>
  <si>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</si>
  <si>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</si>
  <si>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</si>
  <si>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</si>
  <si>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</si>
  <si>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</si>
  <si>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</si>
  <si>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</si>
  <si>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</si>
  <si>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</si>
  <si>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</si>
  <si>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</si>
  <si>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</si>
  <si>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</si>
  <si>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</si>
  <si>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</si>
  <si>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</si>
  <si>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</si>
  <si>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</si>
  <si>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</si>
  <si>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</si>
  <si>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</si>
  <si>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</si>
  <si>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</si>
  <si>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</si>
  <si>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</si>
  <si>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</si>
  <si>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</si>
  <si>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</si>
  <si>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</si>
  <si>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</si>
  <si>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</si>
  <si>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</si>
  <si>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</si>
  <si>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</si>
  <si>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</si>
  <si>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</si>
  <si>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</si>
  <si>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</si>
  <si>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</si>
  <si>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</si>
  <si>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</si>
  <si>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</si>
  <si>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</si>
  <si>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</si>
  <si>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</si>
  <si>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</si>
  <si>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</si>
  <si>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</si>
  <si>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</si>
  <si>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</si>
  <si>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</si>
  <si>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</si>
  <si>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</si>
  <si>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</si>
  <si>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</si>
  <si>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</si>
  <si>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</si>
  <si>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</si>
  <si>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</si>
  <si>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</si>
  <si>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</si>
  <si>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</si>
  <si>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</si>
  <si>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</si>
  <si>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</si>
  <si>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</si>
  <si>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</si>
  <si>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</si>
  <si>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</si>
  <si>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</si>
  <si>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</si>
  <si>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</si>
  <si>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</si>
  <si>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</si>
  <si>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</si>
  <si>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</si>
  <si>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</si>
  <si>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</si>
  <si>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</si>
  <si>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</si>
  <si>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</si>
  <si>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</si>
  <si>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</si>
  <si>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</si>
  <si>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</si>
  <si>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</si>
  <si>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</si>
  <si>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</si>
  <si>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</si>
  <si>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</si>
  <si>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</si>
  <si>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</si>
  <si>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</si>
  <si>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</si>
  <si>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</si>
  <si>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</si>
  <si>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</si>
  <si>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</si>
  <si>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</si>
  <si>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</si>
  <si>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</si>
  <si>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</si>
  <si>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</si>
  <si>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</si>
  <si>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</si>
  <si>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</si>
  <si>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</si>
  <si>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</si>
  <si>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</si>
  <si>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</si>
  <si>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</si>
  <si>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</si>
  <si>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</si>
  <si>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</si>
  <si>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</si>
  <si>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</si>
  <si>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</si>
  <si>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</si>
  <si>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</si>
  <si>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</si>
  <si>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</si>
  <si>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</si>
  <si>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</si>
  <si>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</si>
  <si>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</si>
  <si>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</si>
  <si>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</si>
  <si>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</si>
  <si>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</si>
  <si>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</si>
  <si>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</si>
  <si>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</si>
  <si>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</si>
  <si>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</si>
  <si>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</si>
  <si>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</si>
  <si>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</si>
  <si>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</si>
  <si>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</si>
  <si>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</si>
  <si>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</si>
  <si>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</si>
  <si>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</si>
  <si>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</si>
  <si>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</si>
  <si>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</si>
  <si>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</si>
  <si>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</si>
  <si>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</si>
  <si>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</si>
  <si>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</si>
  <si>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</si>
  <si>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</si>
  <si>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</si>
  <si>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</si>
  <si>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</si>
  <si>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</si>
  <si>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</si>
  <si>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</si>
  <si>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</si>
  <si>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</si>
  <si>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</si>
  <si>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</si>
  <si>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</si>
  <si>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</si>
  <si>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</si>
  <si>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</si>
  <si>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</si>
  <si>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</si>
  <si>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</si>
  <si>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</si>
  <si>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</si>
  <si>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</si>
  <si>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</si>
  <si>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</si>
  <si>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</si>
  <si>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</si>
  <si>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</si>
  <si>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</si>
  <si>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</si>
  <si>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</si>
  <si>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</si>
  <si>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</si>
  <si>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</si>
  <si>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</si>
  <si>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</si>
  <si>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</si>
  <si>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</si>
  <si>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</si>
  <si>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</si>
  <si>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</si>
  <si>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</si>
  <si>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</si>
  <si>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</si>
  <si>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</si>
  <si>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</si>
  <si>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</si>
  <si>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</si>
  <si>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</si>
  <si>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</si>
  <si>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</si>
  <si>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</si>
  <si>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</si>
  <si>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</si>
  <si>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</si>
  <si>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</si>
  <si>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</si>
  <si>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</si>
  <si>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</si>
  <si>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</si>
  <si>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</si>
  <si>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</si>
  <si>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</si>
  <si>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</si>
  <si>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</si>
  <si>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</si>
  <si>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</si>
  <si>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</si>
  <si>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</si>
  <si>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</si>
  <si>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</si>
  <si>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</si>
  <si>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</si>
  <si>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</si>
  <si>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</si>
  <si>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</si>
  <si>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</si>
  <si>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</si>
  <si>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</si>
  <si>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</si>
  <si>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</si>
  <si>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</si>
  <si>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</si>
  <si>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</si>
  <si>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</si>
  <si>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</si>
  <si>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</si>
  <si>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</si>
  <si>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</si>
  <si>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</si>
  <si>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</si>
  <si>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</si>
  <si>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</si>
  <si>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</si>
  <si>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</si>
  <si>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</si>
  <si>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</si>
  <si>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</si>
  <si>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</si>
  <si>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</si>
  <si>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</si>
  <si>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</si>
  <si>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</si>
  <si>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</si>
  <si>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</si>
  <si>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</si>
  <si>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</si>
  <si>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</si>
  <si>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</si>
  <si>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</si>
  <si>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</si>
  <si>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</si>
  <si>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</si>
  <si>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</si>
  <si>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</si>
  <si>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</si>
  <si>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</si>
  <si>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</si>
  <si>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</si>
  <si>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</si>
  <si>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</si>
  <si>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</si>
  <si>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</si>
  <si>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</si>
  <si>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</si>
  <si>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</si>
  <si>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</si>
  <si>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</si>
  <si>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</si>
  <si>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</si>
  <si>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</si>
  <si>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</si>
  <si>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</si>
  <si>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</si>
  <si>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</si>
  <si>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</si>
  <si>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</si>
  <si>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</si>
  <si>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</si>
  <si>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</si>
  <si>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</si>
  <si>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</si>
  <si>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</si>
  <si>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</si>
  <si>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</si>
  <si>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</si>
  <si>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</si>
  <si>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</si>
  <si>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</si>
  <si>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</si>
  <si>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</si>
  <si>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</si>
  <si>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</si>
  <si>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</si>
  <si>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</si>
  <si>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</si>
  <si>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</si>
  <si>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</si>
  <si>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</si>
  <si>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</si>
  <si>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</si>
  <si>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</si>
  <si>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</si>
  <si>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</si>
  <si>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</si>
  <si>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</si>
  <si>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</si>
  <si>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</si>
  <si>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</si>
  <si>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</si>
  <si>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</si>
  <si>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</si>
  <si>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</si>
  <si>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</si>
  <si>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</si>
  <si>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</si>
  <si>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</si>
  <si>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</si>
  <si>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</si>
  <si>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</si>
  <si>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</si>
  <si>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</si>
  <si>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</si>
  <si>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</si>
  <si>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</si>
  <si>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</si>
  <si>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</si>
  <si>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</si>
  <si>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</si>
  <si>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</si>
  <si>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</si>
  <si>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</si>
  <si>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</si>
  <si>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</si>
  <si>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</si>
  <si>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</si>
  <si>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</si>
  <si>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</si>
  <si>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</si>
  <si>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</si>
  <si>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</si>
  <si>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</si>
  <si>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</si>
  <si>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</si>
  <si>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</si>
  <si>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</si>
  <si>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</si>
  <si>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</si>
  <si>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</si>
  <si>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</si>
  <si>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</si>
  <si>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</si>
  <si>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</si>
  <si>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</si>
  <si>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</si>
  <si>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</si>
  <si>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</si>
  <si>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</si>
  <si>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</si>
  <si>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</si>
  <si>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</si>
  <si>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</si>
  <si>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</si>
  <si>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</si>
  <si>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</si>
  <si>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</si>
  <si>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</si>
  <si>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</si>
  <si>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</si>
  <si>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</si>
  <si>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</si>
  <si>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</si>
  <si>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</si>
  <si>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</si>
  <si>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</si>
  <si>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</si>
  <si>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</si>
  <si>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</si>
  <si>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</si>
  <si>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</si>
  <si>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</si>
  <si>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</si>
  <si>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</si>
  <si>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</si>
  <si>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</si>
  <si>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</si>
  <si>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</si>
  <si>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</si>
  <si>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</si>
  <si>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</si>
  <si>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</si>
  <si>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</si>
  <si>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</si>
  <si>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</si>
  <si>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</si>
  <si>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</si>
  <si>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</si>
  <si>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</si>
  <si>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</si>
  <si>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</si>
  <si>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</si>
  <si>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</si>
  <si>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</si>
  <si>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</si>
  <si>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</si>
  <si>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</si>
  <si>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</si>
  <si>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</si>
  <si>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</si>
  <si>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</si>
  <si>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</si>
  <si>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</si>
  <si>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</si>
  <si>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</si>
  <si>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</si>
  <si>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</si>
  <si>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</si>
  <si>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</si>
  <si>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</si>
  <si>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</si>
  <si>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</si>
  <si>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</si>
  <si>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</si>
  <si>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</si>
  <si>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</si>
  <si>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</si>
  <si>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</si>
  <si>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</si>
  <si>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</si>
  <si>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</si>
  <si>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</si>
  <si>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</si>
  <si>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</si>
  <si>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</si>
  <si>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</si>
  <si>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</si>
  <si>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</si>
  <si>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</si>
  <si>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</si>
  <si>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</si>
  <si>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</si>
  <si>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</si>
  <si>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</si>
  <si>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</si>
  <si>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</si>
  <si>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</si>
  <si>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</si>
  <si>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</si>
  <si>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</si>
  <si>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</si>
  <si>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</si>
  <si>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</si>
  <si>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</si>
  <si>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</si>
  <si>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</si>
  <si>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</si>
  <si>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</si>
  <si>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</si>
  <si>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</si>
  <si>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</si>
  <si>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</si>
  <si>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</si>
  <si>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</si>
  <si>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</si>
  <si>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</si>
  <si>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</si>
  <si>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</si>
  <si>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</si>
  <si>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</si>
  <si>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</si>
  <si>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</si>
  <si>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</si>
  <si>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</si>
  <si>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</si>
  <si>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</si>
  <si>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</si>
  <si>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</si>
  <si>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</si>
  <si>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</si>
  <si>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</si>
  <si>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</si>
  <si>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</si>
  <si>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</si>
  <si>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</si>
  <si>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</si>
  <si>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</si>
  <si>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</si>
  <si>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</si>
  <si>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</si>
  <si>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</si>
  <si>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</si>
  <si>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</si>
  <si>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</si>
  <si>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</si>
  <si>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</si>
  <si>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</si>
  <si>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</si>
  <si>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</si>
  <si>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</si>
  <si>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</si>
  <si>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</si>
  <si>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</si>
  <si>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</si>
  <si>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</si>
  <si>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</si>
  <si>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</si>
  <si>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</si>
  <si>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</si>
  <si>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</si>
  <si>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</si>
  <si>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</si>
  <si>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</si>
  <si>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</si>
  <si>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</si>
  <si>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</si>
  <si>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</si>
  <si>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</si>
  <si>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</si>
  <si>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</si>
  <si>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</si>
  <si>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</si>
  <si>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</si>
  <si>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</si>
  <si>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</si>
  <si>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</si>
  <si>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</si>
  <si>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</si>
  <si>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</si>
  <si>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</si>
  <si>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</si>
  <si>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</si>
  <si>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</si>
  <si>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</si>
  <si>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</si>
  <si>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</si>
  <si>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</si>
  <si>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</si>
  <si>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</si>
  <si>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</si>
  <si>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</si>
  <si>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</si>
  <si>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</si>
  <si>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</si>
  <si>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</si>
  <si>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</si>
  <si>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</si>
  <si>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</si>
  <si>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</si>
  <si>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</si>
  <si>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</si>
  <si>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</si>
  <si>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</si>
  <si>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</si>
  <si>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</si>
  <si>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</si>
  <si>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</si>
  <si>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</si>
  <si>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</si>
  <si>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</si>
  <si>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</si>
  <si>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</si>
  <si>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</si>
  <si>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</si>
  <si>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</si>
  <si>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</si>
  <si>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</si>
  <si>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</si>
  <si>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</si>
  <si>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</si>
  <si>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</si>
  <si>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</si>
  <si>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</si>
  <si>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</si>
  <si>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</si>
  <si>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</si>
  <si>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</si>
  <si>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</si>
  <si>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</si>
  <si>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</si>
  <si>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</si>
  <si>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</si>
  <si>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</si>
  <si>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</si>
  <si>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</si>
  <si>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</si>
  <si>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</si>
  <si>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</si>
  <si>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</si>
  <si>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</si>
  <si>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</si>
  <si>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</si>
  <si>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</si>
  <si>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</si>
  <si>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</si>
  <si>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</si>
  <si>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</si>
  <si>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</si>
  <si>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</si>
  <si>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</si>
  <si>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</si>
  <si>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</si>
  <si>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</si>
  <si>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</si>
  <si>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</si>
  <si>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</si>
  <si>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</si>
  <si>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</si>
  <si>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</si>
  <si>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</si>
  <si>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</si>
  <si>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</si>
  <si>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</si>
  <si>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</si>
  <si>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</si>
  <si>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</si>
  <si>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</si>
  <si>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</si>
  <si>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</si>
  <si>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</si>
  <si>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</si>
  <si>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</si>
  <si>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</si>
  <si>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</si>
  <si>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</si>
  <si>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</si>
  <si>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</si>
  <si>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</si>
  <si>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</si>
  <si>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</si>
  <si>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</si>
  <si>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</si>
  <si>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</si>
  <si>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</si>
  <si>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</si>
  <si>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</si>
  <si>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</si>
  <si>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</si>
  <si>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</si>
  <si>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</si>
  <si>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</si>
  <si>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</si>
  <si>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</si>
  <si>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</si>
  <si>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</si>
  <si>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</si>
  <si>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</si>
  <si>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</si>
  <si>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</si>
  <si>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</si>
  <si>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</si>
  <si>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</si>
  <si>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</si>
  <si>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</si>
  <si>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</si>
  <si>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</si>
  <si>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</si>
  <si>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</si>
  <si>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</si>
  <si>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</si>
  <si>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</si>
  <si>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</si>
  <si>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</si>
  <si>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</si>
  <si>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</si>
  <si>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</si>
  <si>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</si>
  <si>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</si>
  <si>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</si>
  <si>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</si>
  <si>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</si>
  <si>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</si>
  <si>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</si>
  <si>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</si>
  <si>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</si>
  <si>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</si>
  <si>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</si>
  <si>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</si>
  <si>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</si>
  <si>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</si>
  <si>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</si>
  <si>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</si>
  <si>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</si>
  <si>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</si>
  <si>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</si>
  <si>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</si>
  <si>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</si>
  <si>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</si>
  <si>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</si>
  <si>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</si>
  <si>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</si>
  <si>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</si>
  <si>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</si>
  <si>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</si>
  <si>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</si>
  <si>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</si>
  <si>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</si>
  <si>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</si>
  <si>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</si>
  <si>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</si>
  <si>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</si>
  <si>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</si>
  <si>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</si>
  <si>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</si>
  <si>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</si>
  <si>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</si>
  <si>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</si>
  <si>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</si>
  <si>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</si>
  <si>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</si>
  <si>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</si>
  <si>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</si>
  <si>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</si>
  <si>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</si>
  <si>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</si>
  <si>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</si>
  <si>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</si>
  <si>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</si>
  <si>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</si>
  <si>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</si>
  <si>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</si>
  <si>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</si>
  <si>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</si>
  <si>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</si>
  <si>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</si>
  <si>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</si>
  <si>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</si>
  <si>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</si>
  <si>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</si>
  <si>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</si>
  <si>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</si>
  <si>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</si>
  <si>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</si>
  <si>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</si>
  <si>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</si>
  <si>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</si>
  <si>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</si>
  <si>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</si>
  <si>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</si>
  <si>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</si>
  <si>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</si>
  <si>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</si>
  <si>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</si>
  <si>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</si>
  <si>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</si>
  <si>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</si>
  <si>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</si>
  <si>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</si>
  <si>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</si>
  <si>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</si>
  <si>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</si>
  <si>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</si>
  <si>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</si>
  <si>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</si>
  <si>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</si>
  <si>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</si>
  <si>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</si>
  <si>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</si>
  <si>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</si>
  <si>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</si>
  <si>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</si>
  <si>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</si>
  <si>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</si>
  <si>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</si>
  <si>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</si>
  <si>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</si>
  <si>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</si>
  <si>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</si>
  <si>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</si>
  <si>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</si>
  <si>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</si>
  <si>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</si>
  <si>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</si>
  <si>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</si>
  <si>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</si>
  <si>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</si>
  <si>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</si>
  <si>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</si>
  <si>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</si>
  <si>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</si>
  <si>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</si>
  <si>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</si>
  <si>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</si>
  <si>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</si>
  <si>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</si>
  <si>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</si>
  <si>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</si>
  <si>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</si>
  <si>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</si>
  <si>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</si>
  <si>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</si>
  <si>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</si>
  <si>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</si>
  <si>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</si>
  <si>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</si>
  <si>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</si>
  <si>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</si>
  <si>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</si>
  <si>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</si>
  <si>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</si>
  <si>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</si>
  <si>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</si>
  <si>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</si>
  <si>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</si>
  <si>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</si>
  <si>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</si>
  <si>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</si>
  <si>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</si>
  <si>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</si>
  <si>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</si>
  <si>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</si>
  <si>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</si>
  <si>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</si>
  <si>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</si>
  <si>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</si>
  <si>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</si>
  <si>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</si>
  <si>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</si>
  <si>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</si>
  <si>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</si>
  <si>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</si>
  <si>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</si>
  <si>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</si>
  <si>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</si>
  <si>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</si>
  <si>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</si>
  <si>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</si>
  <si>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</si>
  <si>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</si>
  <si>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</si>
  <si>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</si>
  <si>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</si>
  <si>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</si>
  <si>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</si>
  <si>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</si>
  <si>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</si>
  <si>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</si>
  <si>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</si>
  <si>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</si>
  <si>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</si>
  <si>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</si>
  <si>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</si>
  <si>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</si>
  <si>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</si>
  <si>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</si>
  <si>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</si>
  <si>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</si>
  <si>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</si>
  <si>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</si>
  <si>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</si>
  <si>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</si>
  <si>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</si>
  <si>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</si>
  <si>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</si>
  <si>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</si>
  <si>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</si>
  <si>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</si>
  <si>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</si>
  <si>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</si>
  <si>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</si>
  <si>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</si>
  <si>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</si>
  <si>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</si>
  <si>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</si>
  <si>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</si>
  <si>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</si>
  <si>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</si>
  <si>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</si>
  <si>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</si>
  <si>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</si>
  <si>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</si>
  <si>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</si>
  <si>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</si>
  <si>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</si>
  <si>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</si>
  <si>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</si>
  <si>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</si>
  <si>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</si>
  <si>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</si>
  <si>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</si>
  <si>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</si>
  <si>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</si>
  <si>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</si>
  <si>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</si>
  <si>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</si>
  <si>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</si>
  <si>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</si>
  <si>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</si>
  <si>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</si>
  <si>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</si>
  <si>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</si>
  <si>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</si>
  <si>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</si>
  <si>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</si>
  <si>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</si>
  <si>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</si>
  <si>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</si>
  <si>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</si>
  <si>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</si>
  <si>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</si>
  <si>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</si>
  <si>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</si>
  <si>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</si>
  <si>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</si>
  <si>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</si>
  <si>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</si>
  <si>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</si>
  <si>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</si>
  <si>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</si>
  <si>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</si>
  <si>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</si>
  <si>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</si>
  <si>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</si>
  <si>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</si>
  <si>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</si>
  <si>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</si>
  <si>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</si>
  <si>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</si>
  <si>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</si>
  <si>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</si>
  <si>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</si>
  <si>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</si>
  <si>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</si>
  <si>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</si>
  <si>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</si>
  <si>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</si>
  <si>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</si>
  <si>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</si>
  <si>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</si>
  <si>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</si>
  <si>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</si>
  <si>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</si>
  <si>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</si>
  <si>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</si>
  <si>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</si>
  <si>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</si>
  <si>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</si>
  <si>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</si>
  <si>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</si>
  <si>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</si>
  <si>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</si>
  <si>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</si>
  <si>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</si>
  <si>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</si>
  <si>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</si>
  <si>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</si>
  <si>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</si>
  <si>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</si>
  <si>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</si>
  <si>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</si>
  <si>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</si>
  <si>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</si>
  <si>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</si>
  <si>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</si>
  <si>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</si>
  <si>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</si>
  <si>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</si>
  <si>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</si>
  <si>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</si>
  <si>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</si>
  <si>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</si>
  <si>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</si>
  <si>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</si>
  <si>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</si>
  <si>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</si>
  <si>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</si>
  <si>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</si>
  <si>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</si>
  <si>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</si>
  <si>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</si>
  <si>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</si>
  <si>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</si>
  <si>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</si>
  <si>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</si>
  <si>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</si>
  <si>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</si>
  <si>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</si>
  <si>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</si>
  <si>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</si>
  <si>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</si>
  <si>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</si>
  <si>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</si>
  <si>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</si>
  <si>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</si>
  <si>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</si>
  <si>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</si>
  <si>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</si>
  <si>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</si>
  <si>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</si>
  <si>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</si>
  <si>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</si>
  <si>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</si>
  <si>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</si>
  <si>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</si>
  <si>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</si>
  <si>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</si>
  <si>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</si>
  <si>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</si>
  <si>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</si>
  <si>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</si>
  <si>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</si>
  <si>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</si>
  <si>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</si>
  <si>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</si>
  <si>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</si>
  <si>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</si>
  <si>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</si>
  <si>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</si>
  <si>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</si>
  <si>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</si>
  <si>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</si>
  <si>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</si>
  <si>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</si>
  <si>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</si>
  <si>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</si>
  <si>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</si>
  <si>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</si>
  <si>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</si>
  <si>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</si>
  <si>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</si>
  <si>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</si>
  <si>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</si>
  <si>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</si>
  <si>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</si>
  <si>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</si>
  <si>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</si>
  <si>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</si>
  <si>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</si>
  <si>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</si>
  <si>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</si>
  <si>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</si>
  <si>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</si>
  <si>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</si>
  <si>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</si>
  <si>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</si>
  <si>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</si>
  <si>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</si>
  <si>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</si>
  <si>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</si>
  <si>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</si>
  <si>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</si>
  <si>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</si>
  <si>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</si>
  <si>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</si>
  <si>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</si>
  <si>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</si>
  <si>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</si>
  <si>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</si>
  <si>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</si>
  <si>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</si>
  <si>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</si>
  <si>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</si>
  <si>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</si>
  <si>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</si>
  <si>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</si>
  <si>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</si>
  <si>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</si>
  <si>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</si>
  <si>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</si>
  <si>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</si>
  <si>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</si>
  <si>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</si>
  <si>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</si>
  <si>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</si>
  <si>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</si>
  <si>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</si>
  <si>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</si>
  <si>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</si>
  <si>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</si>
  <si>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</si>
  <si>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</si>
  <si>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</si>
  <si>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</si>
  <si>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</si>
  <si>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</si>
  <si>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</si>
  <si>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</si>
  <si>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</si>
  <si>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</si>
  <si>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</si>
  <si>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</si>
  <si>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</si>
  <si>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</si>
  <si>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</si>
  <si>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</si>
  <si>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</si>
  <si>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</si>
  <si>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</si>
  <si>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</si>
  <si>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</si>
  <si>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</si>
  <si>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</si>
  <si>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</si>
  <si>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</si>
  <si>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</si>
  <si>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</si>
  <si>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</si>
  <si>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</si>
  <si>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</si>
  <si>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</si>
  <si>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</si>
  <si>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</si>
  <si>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</si>
  <si>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</si>
  <si>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</si>
  <si>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</si>
  <si>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</si>
  <si>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</si>
  <si>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</si>
  <si>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</si>
  <si>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</si>
  <si>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</si>
  <si>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</si>
  <si>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</si>
  <si>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</si>
  <si>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</si>
  <si>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</si>
  <si>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</si>
  <si>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</si>
  <si>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</si>
  <si>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</si>
  <si>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</si>
  <si>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</si>
  <si>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</si>
  <si>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</si>
  <si>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</si>
  <si>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</si>
  <si>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</si>
  <si>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</si>
  <si>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</si>
  <si>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</si>
  <si>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</si>
  <si>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</si>
  <si>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</si>
  <si>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</si>
  <si>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</si>
  <si>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</si>
  <si>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</si>
  <si>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</si>
  <si>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</si>
  <si>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</si>
  <si>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</si>
  <si>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</si>
  <si>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</si>
  <si>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</si>
  <si>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</si>
  <si>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</si>
  <si>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</si>
  <si>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</si>
  <si>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</si>
  <si>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</si>
  <si>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</si>
  <si>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</si>
  <si>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</si>
  <si>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</si>
  <si>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</si>
  <si>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</si>
  <si>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</si>
  <si>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</si>
  <si>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</si>
  <si>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</si>
  <si>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</si>
  <si>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</si>
  <si>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</si>
  <si>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</si>
  <si>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</si>
  <si>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</si>
  <si>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</si>
  <si>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</si>
  <si>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</si>
  <si>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</si>
  <si>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</si>
  <si>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</si>
  <si>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</si>
  <si>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</si>
  <si>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</si>
  <si>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</si>
  <si>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</si>
  <si>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</si>
  <si>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</si>
  <si>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</si>
  <si>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</si>
  <si>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</si>
  <si>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</si>
  <si>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</si>
  <si>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</si>
  <si>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</si>
  <si>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</si>
  <si>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</si>
  <si>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</si>
  <si>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</si>
  <si>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</si>
  <si>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</si>
  <si>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</si>
  <si>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</si>
  <si>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</si>
  <si>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</si>
  <si>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</si>
  <si>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</si>
  <si>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</si>
  <si>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</si>
  <si>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</si>
  <si>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</si>
  <si>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</si>
  <si>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</si>
  <si>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</si>
  <si>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</si>
  <si>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</si>
  <si>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</si>
  <si>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</si>
  <si>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</si>
  <si>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</si>
  <si>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</si>
  <si>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</si>
  <si>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</si>
  <si>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</si>
  <si>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</si>
  <si>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</si>
  <si>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</si>
  <si>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</si>
  <si>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</si>
  <si>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</si>
  <si>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</si>
  <si>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</si>
  <si>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</si>
  <si>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</si>
  <si>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</si>
  <si>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</si>
  <si>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</si>
  <si>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</si>
  <si>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</si>
  <si>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</si>
  <si>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</si>
  <si>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</si>
  <si>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</si>
  <si>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</si>
  <si>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</si>
  <si>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</si>
  <si>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</si>
  <si>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</si>
  <si>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</si>
  <si>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</si>
  <si>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</si>
  <si>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</si>
  <si>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</si>
  <si>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</si>
  <si>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</si>
  <si>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</si>
  <si>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</si>
  <si>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</si>
  <si>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</si>
  <si>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</si>
  <si>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</si>
  <si>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</si>
  <si>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</si>
  <si>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</si>
  <si>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</si>
  <si>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</si>
  <si>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</si>
  <si>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</si>
  <si>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</si>
  <si>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</si>
  <si>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</si>
  <si>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</si>
  <si>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</si>
  <si>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</si>
  <si>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</si>
  <si>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</si>
  <si>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</si>
  <si>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</si>
  <si>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</si>
  <si>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</si>
  <si>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</si>
  <si>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</si>
  <si>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</si>
  <si>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</si>
  <si>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</si>
  <si>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</si>
  <si>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</si>
  <si>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</si>
  <si>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</si>
  <si>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</si>
  <si>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</si>
  <si>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</si>
  <si>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</si>
  <si>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</si>
  <si>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</si>
  <si>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</si>
  <si>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</si>
  <si>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</si>
  <si>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</si>
  <si>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</si>
  <si>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</si>
  <si>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</si>
  <si>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</si>
  <si>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</si>
  <si>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</si>
  <si>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</si>
  <si>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</si>
  <si>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</si>
  <si>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</si>
  <si>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</si>
  <si>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</si>
  <si>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</si>
  <si>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</si>
  <si>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</si>
  <si>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</si>
  <si>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</si>
  <si>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</si>
  <si>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</si>
  <si>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</si>
  <si>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</si>
  <si>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</si>
  <si>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</si>
  <si>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</si>
  <si>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</si>
  <si>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</si>
  <si>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</si>
  <si>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</si>
  <si>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</si>
  <si>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</si>
  <si>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</si>
  <si>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</si>
  <si>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</si>
  <si>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</si>
  <si>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</si>
  <si>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</si>
  <si>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</si>
  <si>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</si>
  <si>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</si>
  <si>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</si>
  <si>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</si>
  <si>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</si>
  <si>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</si>
  <si>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</si>
  <si>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</si>
  <si>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</si>
  <si>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</si>
  <si>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</si>
  <si>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</si>
  <si>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</si>
  <si>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</si>
  <si>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</si>
  <si>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</si>
  <si>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</si>
  <si>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</si>
  <si>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</si>
  <si>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</si>
  <si>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</si>
  <si>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</si>
  <si>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</si>
  <si>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</si>
  <si>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</si>
  <si>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</si>
  <si>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</si>
  <si>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</si>
  <si>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</si>
  <si>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</si>
  <si>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</si>
  <si>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</si>
  <si>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</si>
  <si>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</si>
  <si>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</si>
  <si>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</si>
  <si>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</si>
  <si>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</si>
  <si>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</si>
  <si>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</si>
  <si>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</si>
  <si>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</si>
  <si>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</si>
  <si>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</si>
  <si>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</si>
  <si>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</si>
  <si>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</si>
  <si>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</si>
  <si>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</si>
  <si>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</si>
  <si>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</si>
  <si>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</si>
  <si>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</si>
  <si>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</si>
  <si>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</si>
  <si>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</si>
  <si>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</si>
  <si>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</si>
  <si>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</si>
  <si>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</si>
  <si>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</si>
  <si>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</si>
  <si>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</si>
  <si>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</si>
  <si>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</si>
  <si>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</si>
  <si>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</si>
  <si>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</si>
  <si>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</si>
  <si>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</si>
  <si>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</si>
  <si>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</si>
  <si>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</si>
  <si>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</si>
  <si>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</si>
  <si>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</si>
  <si>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</si>
  <si>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</si>
  <si>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</si>
  <si>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</si>
  <si>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</si>
  <si>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</si>
  <si>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</si>
  <si>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</si>
  <si>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</si>
  <si>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</si>
  <si>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</si>
  <si>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</si>
  <si>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</si>
  <si>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</si>
  <si>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</si>
  <si>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</si>
  <si>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</si>
  <si>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</si>
  <si>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</si>
  <si>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</si>
  <si>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</si>
  <si>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</si>
  <si>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</si>
  <si>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</si>
  <si>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</si>
  <si>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</si>
  <si>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</si>
  <si>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</si>
  <si>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</si>
  <si>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</si>
  <si>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</si>
  <si>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</si>
  <si>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</si>
  <si>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</si>
  <si>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</si>
  <si>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</si>
  <si>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</si>
  <si>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</si>
  <si>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</si>
  <si>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</si>
  <si>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</si>
  <si>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</si>
  <si>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</si>
  <si>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</si>
  <si>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</si>
  <si>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</si>
  <si>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</si>
  <si>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</si>
  <si>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</si>
  <si>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</si>
  <si>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</si>
  <si>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</si>
  <si>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</si>
  <si>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</si>
  <si>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</si>
  <si>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</si>
  <si>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</si>
  <si>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</si>
  <si>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</si>
  <si>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</si>
  <si>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</si>
  <si>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</si>
  <si>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</si>
  <si>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</si>
  <si>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</si>
  <si>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</si>
  <si>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</si>
  <si>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</si>
  <si>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</si>
  <si>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</si>
  <si>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</si>
  <si>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</si>
  <si>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</si>
  <si>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</si>
  <si>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</si>
  <si>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</si>
  <si>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</si>
  <si>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</si>
  <si>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</si>
  <si>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</si>
  <si>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</si>
  <si>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</si>
  <si>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</si>
  <si>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</si>
  <si>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</si>
  <si>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</si>
  <si>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</si>
  <si>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</si>
  <si>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</si>
  <si>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</si>
  <si>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</si>
  <si>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</si>
  <si>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</si>
  <si>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</si>
  <si>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</si>
  <si>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</si>
  <si>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</si>
  <si>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</si>
  <si>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</si>
  <si>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</si>
  <si>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</si>
  <si>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</si>
  <si>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</si>
  <si>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</si>
  <si>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</si>
  <si>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</si>
  <si>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</si>
  <si>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</si>
  <si>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</si>
  <si>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</si>
  <si>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</si>
  <si>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</si>
  <si>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</si>
  <si>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</si>
  <si>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</si>
  <si>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</si>
  <si>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</si>
  <si>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</si>
  <si>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</si>
  <si>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</si>
  <si>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</si>
  <si>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</si>
  <si>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</si>
  <si>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</si>
  <si>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</si>
  <si>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</si>
  <si>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</si>
  <si>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</si>
  <si>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</si>
  <si>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</si>
  <si>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</si>
  <si>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</si>
  <si>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</si>
  <si>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</si>
  <si>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</si>
  <si>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</si>
  <si>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</si>
  <si>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</si>
  <si>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</si>
  <si>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</si>
  <si>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</si>
  <si>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</si>
  <si>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</si>
  <si>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</si>
  <si>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</si>
  <si>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</si>
  <si>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</si>
  <si>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</si>
  <si>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</si>
  <si>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</si>
  <si>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</si>
  <si>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</si>
  <si>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</si>
  <si>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</si>
  <si>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</si>
  <si>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</si>
  <si>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</si>
  <si>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</si>
  <si>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</si>
  <si>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</si>
  <si>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</si>
  <si>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</si>
  <si>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</si>
  <si>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</si>
  <si>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</si>
  <si>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</si>
  <si>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</si>
  <si>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</si>
  <si>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</si>
  <si>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</si>
  <si>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</si>
  <si>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</si>
  <si>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</si>
  <si>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</si>
  <si>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</si>
  <si>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</si>
  <si>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</si>
  <si>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</si>
  <si>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</si>
  <si>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</si>
  <si>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</si>
  <si>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</si>
  <si>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</si>
  <si>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</si>
  <si>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</si>
  <si>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</si>
  <si>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</si>
  <si>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</si>
  <si>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</si>
  <si>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</si>
  <si>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</si>
  <si>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</si>
  <si>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</si>
  <si>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</si>
  <si>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</si>
  <si>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</si>
  <si>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</si>
  <si>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</si>
  <si>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</si>
  <si>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</si>
  <si>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</si>
  <si>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</si>
  <si>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</si>
  <si>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</si>
  <si>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</si>
  <si>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</si>
  <si>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</si>
  <si>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</si>
  <si>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</si>
  <si>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</si>
  <si>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</si>
  <si>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</si>
  <si>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</si>
  <si>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</si>
  <si>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</si>
  <si>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</si>
  <si>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</si>
  <si>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</si>
  <si>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</si>
  <si>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</si>
  <si>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</si>
  <si>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</si>
  <si>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</si>
  <si>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</si>
  <si>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</si>
  <si>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</si>
  <si>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</si>
  <si>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</si>
  <si>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</si>
  <si>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</si>
  <si>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</si>
  <si>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</si>
  <si>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</si>
  <si>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</si>
  <si>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</si>
  <si>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</si>
  <si>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</si>
  <si>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</si>
  <si>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</si>
  <si>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</si>
  <si>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</si>
  <si>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</si>
  <si>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</si>
  <si>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</si>
  <si>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</si>
  <si>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</si>
  <si>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</si>
  <si>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</si>
  <si>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</si>
  <si>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</si>
  <si>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</si>
  <si>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</si>
  <si>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</si>
  <si>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</si>
  <si>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</si>
  <si>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</si>
  <si>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</si>
  <si>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</si>
  <si>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</si>
  <si>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</si>
  <si>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</si>
  <si>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</si>
  <si>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</si>
  <si>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</si>
  <si>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</si>
  <si>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</si>
  <si>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</si>
  <si>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</si>
  <si>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</si>
  <si>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</si>
  <si>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</si>
  <si>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</si>
  <si>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</si>
  <si>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</si>
  <si>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</si>
  <si>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</si>
  <si>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</si>
  <si>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</si>
  <si>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</si>
  <si>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</si>
  <si>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</si>
  <si>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</si>
  <si>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</si>
  <si>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</si>
  <si>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</si>
  <si>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</si>
  <si>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</si>
  <si>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</si>
  <si>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</si>
  <si>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</si>
  <si>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</si>
  <si>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</si>
  <si>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</si>
  <si>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</si>
  <si>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</si>
  <si>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</si>
  <si>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</si>
  <si>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</si>
  <si>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</si>
  <si>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</si>
  <si>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</si>
  <si>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</si>
  <si>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</si>
  <si>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</si>
  <si>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</si>
  <si>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</si>
  <si>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</si>
  <si>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</si>
  <si>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</si>
  <si>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</si>
  <si>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</si>
  <si>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</si>
  <si>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</si>
  <si>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</si>
  <si>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</si>
  <si>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</si>
  <si>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</si>
  <si>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</si>
  <si>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</si>
  <si>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</si>
  <si>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</si>
  <si>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</si>
  <si>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</si>
  <si>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</si>
  <si>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</si>
  <si>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</si>
  <si>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</si>
  <si>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</si>
  <si>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</si>
  <si>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</si>
  <si>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</si>
  <si>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</si>
  <si>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</si>
  <si>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</si>
  <si>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</si>
  <si>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</si>
  <si>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</si>
  <si>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</si>
  <si>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</si>
  <si>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</si>
  <si>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</si>
  <si>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</si>
  <si>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</si>
  <si>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</si>
  <si>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</si>
  <si>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</si>
  <si>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</si>
  <si>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</si>
  <si>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</si>
  <si>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</si>
  <si>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</si>
  <si>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</si>
  <si>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</si>
  <si>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</si>
  <si>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</si>
  <si>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</si>
  <si>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</si>
  <si>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</si>
  <si>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</si>
  <si>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</si>
  <si>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</si>
  <si>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</si>
  <si>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</si>
  <si>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</si>
  <si>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</si>
  <si>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</si>
  <si>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</si>
  <si>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</si>
  <si>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</si>
  <si>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</si>
  <si>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</si>
  <si>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</si>
  <si>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</si>
  <si>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</si>
  <si>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</si>
  <si>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</si>
  <si>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</si>
  <si>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</si>
  <si>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</si>
  <si>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</si>
  <si>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</si>
  <si>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</si>
  <si>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</si>
  <si>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</si>
  <si>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</si>
  <si>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</si>
  <si>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</si>
  <si>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</si>
  <si>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</si>
  <si>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</si>
  <si>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</si>
  <si>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</si>
  <si>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</si>
  <si>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</si>
  <si>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</si>
  <si>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</si>
  <si>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</si>
  <si>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</si>
  <si>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</si>
  <si>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</si>
  <si>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</si>
  <si>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</si>
  <si>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</si>
  <si>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</si>
  <si>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</si>
  <si>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</si>
  <si>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</si>
  <si>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</si>
  <si>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</si>
  <si>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</si>
  <si>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</si>
  <si>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</si>
  <si>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</si>
  <si>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</si>
  <si>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</si>
  <si>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</si>
  <si>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</si>
  <si>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</si>
  <si>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</si>
  <si>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</si>
  <si>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</si>
  <si>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</si>
  <si>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</si>
  <si>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</si>
  <si>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</si>
  <si>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</si>
  <si>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</si>
  <si>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</si>
  <si>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</si>
  <si>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</si>
  <si>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</si>
  <si>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</si>
  <si>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</si>
  <si>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</si>
  <si>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</si>
  <si>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</si>
  <si>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</si>
  <si>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</si>
  <si>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</si>
  <si>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</si>
  <si>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</si>
  <si>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</si>
  <si>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</si>
  <si>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</si>
  <si>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</si>
  <si>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</si>
  <si>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</si>
  <si>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</si>
  <si>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</si>
  <si>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</si>
  <si>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</si>
  <si>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</si>
  <si>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</si>
  <si>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</si>
  <si>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</si>
  <si>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</si>
  <si>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</si>
  <si>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</si>
  <si>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</si>
  <si>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</si>
  <si>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</si>
  <si>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</si>
  <si>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</si>
  <si>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</si>
  <si>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</si>
  <si>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</si>
  <si>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</si>
  <si>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</si>
  <si>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</si>
  <si>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</si>
  <si>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</si>
  <si>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</si>
  <si>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</si>
  <si>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</si>
  <si>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</si>
  <si>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</si>
  <si>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</si>
  <si>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</si>
  <si>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</si>
  <si>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</si>
  <si>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</si>
  <si>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</si>
  <si>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</si>
  <si>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</si>
  <si>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</si>
  <si>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</si>
  <si>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</si>
  <si>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</si>
  <si>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</si>
  <si>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</si>
  <si>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</si>
  <si>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</si>
  <si>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</si>
  <si>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</si>
  <si>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</si>
  <si>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</si>
  <si>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</si>
  <si>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</si>
  <si>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</si>
  <si>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</si>
  <si>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</si>
  <si>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</si>
  <si>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</si>
  <si>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</si>
  <si>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</si>
  <si>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</si>
  <si>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</si>
  <si>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</si>
  <si>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</si>
  <si>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</si>
  <si>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</si>
  <si>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</si>
  <si>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</si>
  <si>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</si>
  <si>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</si>
  <si>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</si>
  <si>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</si>
  <si>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</si>
  <si>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</si>
  <si>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</si>
  <si>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</si>
  <si>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</si>
  <si>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</si>
  <si>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</si>
  <si>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</si>
  <si>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</si>
  <si>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</si>
  <si>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</si>
  <si>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</si>
  <si>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</si>
  <si>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</si>
  <si>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</si>
  <si>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</si>
  <si>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</si>
  <si>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</si>
  <si>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</si>
  <si>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</si>
  <si>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</si>
  <si>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</si>
  <si>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</si>
  <si>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</si>
  <si>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</si>
  <si>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</si>
  <si>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</si>
  <si>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</si>
  <si>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</si>
  <si>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</si>
  <si>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</si>
  <si>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</si>
  <si>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</si>
  <si>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</si>
  <si>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</si>
  <si>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</si>
  <si>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</si>
  <si>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</si>
  <si>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</si>
  <si>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</si>
  <si>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</si>
  <si>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</si>
  <si>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</si>
  <si>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</si>
  <si>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</si>
  <si>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</si>
  <si>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</si>
  <si>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</si>
  <si>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</si>
  <si>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</si>
  <si>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</si>
  <si>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</si>
  <si>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</si>
  <si>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</si>
  <si>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</si>
  <si>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</si>
  <si>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</si>
  <si>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</si>
  <si>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</si>
  <si>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</si>
  <si>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</si>
  <si>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</si>
  <si>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</si>
  <si>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</si>
  <si>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</si>
  <si>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</si>
  <si>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</si>
  <si>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</si>
  <si>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</si>
  <si>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</si>
  <si>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</si>
  <si>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</si>
  <si>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</si>
  <si>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</si>
  <si>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</si>
  <si>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</si>
  <si>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</si>
  <si>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</si>
  <si>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</si>
  <si>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</si>
  <si>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</si>
  <si>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</si>
  <si>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</si>
  <si>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</si>
  <si>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</si>
  <si>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</si>
  <si>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</si>
  <si>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</si>
  <si>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</si>
  <si>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</si>
  <si>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</si>
  <si>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</si>
  <si>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</si>
  <si>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</si>
  <si>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</si>
  <si>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</si>
  <si>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</si>
  <si>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</si>
  <si>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</si>
  <si>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</si>
  <si>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</si>
  <si>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</si>
  <si>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</si>
  <si>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</si>
  <si>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</si>
  <si>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</si>
  <si>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</si>
  <si>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</si>
  <si>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</si>
  <si>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</si>
  <si>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</si>
  <si>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</si>
  <si>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</si>
  <si>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</si>
  <si>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</si>
  <si>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</si>
  <si>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</si>
  <si>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</si>
  <si>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</si>
  <si>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</si>
  <si>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</si>
  <si>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</si>
  <si>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</si>
  <si>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</si>
  <si>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</si>
  <si>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</si>
  <si>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</si>
  <si>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</si>
  <si>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</si>
  <si>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</si>
  <si>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</si>
  <si>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</si>
  <si>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</si>
  <si>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</si>
  <si>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</si>
  <si>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</si>
  <si>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</si>
  <si>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</si>
  <si>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</si>
  <si>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</si>
  <si>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</si>
  <si>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</si>
  <si>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</si>
  <si>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</si>
  <si>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</si>
  <si>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</si>
  <si>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</si>
  <si>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</si>
  <si>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</si>
  <si>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</si>
  <si>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</si>
  <si>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Kopitiam</t>
  </si>
  <si>
    <t>Zara</t>
  </si>
  <si>
    <t>24h clinic</t>
  </si>
  <si>
    <t>Cmlink#port#scsc</t>
  </si>
  <si>
    <t>DDD #scsc</t>
  </si>
  <si>
    <t>AIA Q4</t>
  </si>
  <si>
    <t>Dengue reimb</t>
  </si>
  <si>
    <t>DDD #FnF</t>
  </si>
  <si>
    <t>watson</t>
  </si>
  <si>
    <t>EGA3.55ppa Aug</t>
  </si>
  <si>
    <t>EGA3.55ppa Sep</t>
  </si>
  <si>
    <t>108{EGA</t>
  </si>
  <si>
    <t>EGA bonus+ 5,24/10</t>
  </si>
  <si>
    <t>derma</t>
  </si>
  <si>
    <t>e$3.6ppa Oct</t>
  </si>
  <si>
    <t>~~ChannelA</t>
  </si>
  <si>
    <t xml:space="preserve">~~ChannelA </t>
  </si>
  <si>
    <t>AstonsVivo</t>
  </si>
  <si>
    <t>HSBC.75%@USD5400</t>
  </si>
  <si>
    <t>Wife #stress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</si>
</sst>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20" t="s">
        <v>91</v>
      </c>
      <c r="C1" s="720"/>
      <c r="D1" s="721" t="s">
        <v>92</v>
      </c>
      <c r="E1" s="720"/>
      <c r="F1" s="721" t="s">
        <v>93</v>
      </c>
      <c r="G1" s="720"/>
      <c r="H1" s="722" t="s">
        <v>94</v>
      </c>
      <c r="I1" s="722"/>
      <c r="J1" s="723" t="s">
        <v>92</v>
      </c>
      <c r="K1" s="724"/>
      <c r="L1" s="725" t="s">
        <v>95</v>
      </c>
      <c r="M1" s="726"/>
      <c r="N1" s="722" t="s">
        <v>96</v>
      </c>
      <c r="O1" s="722"/>
      <c r="P1" s="723" t="s">
        <v>97</v>
      </c>
      <c r="Q1" s="724"/>
      <c r="R1" s="725" t="s">
        <v>98</v>
      </c>
      <c r="S1" s="726"/>
      <c r="T1" s="727" t="s">
        <v>99</v>
      </c>
      <c r="U1" s="727"/>
      <c r="V1" s="723" t="s">
        <v>92</v>
      </c>
      <c r="W1" s="724"/>
      <c r="X1" s="728" t="s">
        <v>100</v>
      </c>
      <c r="Y1" s="729"/>
      <c r="Z1" s="727" t="s">
        <v>101</v>
      </c>
      <c r="AA1" s="727"/>
      <c r="AB1" s="730" t="s">
        <v>92</v>
      </c>
      <c r="AC1" s="731"/>
      <c r="AD1" s="732" t="s">
        <v>100</v>
      </c>
      <c r="AE1" s="733"/>
      <c r="AF1" s="727" t="s">
        <v>102</v>
      </c>
      <c r="AG1" s="727"/>
      <c r="AH1" s="730" t="s">
        <v>92</v>
      </c>
      <c r="AI1" s="731"/>
      <c r="AJ1" s="728" t="s">
        <v>103</v>
      </c>
      <c r="AK1" s="729"/>
      <c r="AL1" s="727" t="s">
        <v>104</v>
      </c>
      <c r="AM1" s="727"/>
      <c r="AN1" s="734" t="s">
        <v>92</v>
      </c>
      <c r="AO1" s="735"/>
      <c r="AP1" s="736" t="s">
        <v>105</v>
      </c>
      <c r="AQ1" s="737"/>
      <c r="AR1" s="727" t="s">
        <v>106</v>
      </c>
      <c r="AS1" s="727"/>
      <c r="AV1" s="736" t="s">
        <v>107</v>
      </c>
      <c r="AW1" s="737"/>
      <c r="AX1" s="738" t="s">
        <v>108</v>
      </c>
      <c r="AY1" s="738"/>
      <c r="AZ1" s="738"/>
      <c r="BA1" s="352"/>
      <c r="BB1" s="739">
        <v>42942</v>
      </c>
      <c r="BC1" s="740"/>
      <c r="BD1" s="74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46" t="s">
        <v>124</v>
      </c>
      <c r="U4" s="746"/>
      <c r="X4" s="433" t="s">
        <v>123</v>
      </c>
      <c r="Y4" s="459">
        <f>Y3-Y6</f>
        <v>4.9669099999591708</v>
      </c>
      <c r="Z4" s="746" t="s">
        <v>125</v>
      </c>
      <c r="AA4" s="746"/>
      <c r="AD4" s="402" t="s">
        <v>123</v>
      </c>
      <c r="AE4" s="402">
        <f>AE3-AE5</f>
        <v>-52.526899999851594</v>
      </c>
      <c r="AF4" s="746" t="s">
        <v>125</v>
      </c>
      <c r="AG4" s="746"/>
      <c r="AH4" s="70"/>
      <c r="AI4" s="70"/>
      <c r="AJ4" s="402" t="s">
        <v>123</v>
      </c>
      <c r="AK4" s="402">
        <f>AK3-AK5</f>
        <v>94.988909999992757</v>
      </c>
      <c r="AL4" s="746" t="s">
        <v>125</v>
      </c>
      <c r="AM4" s="746"/>
      <c r="AP4" s="56" t="s">
        <v>123</v>
      </c>
      <c r="AQ4" s="55">
        <f>AQ3-AQ5</f>
        <v>33.841989999942598</v>
      </c>
      <c r="AR4" s="746" t="s">
        <v>125</v>
      </c>
      <c r="AS4" s="746"/>
      <c r="AX4" s="746" t="s">
        <v>126</v>
      </c>
      <c r="AY4" s="746"/>
      <c r="BB4" s="746" t="s">
        <v>127</v>
      </c>
      <c r="BC4" s="74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46"/>
      <c r="U5" s="746"/>
      <c r="V5" s="346" t="s">
        <v>132</v>
      </c>
      <c r="W5">
        <v>2050</v>
      </c>
      <c r="X5" s="407"/>
      <c r="Z5" s="746"/>
      <c r="AA5" s="746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46"/>
      <c r="AG5" s="746"/>
      <c r="AH5" s="70"/>
      <c r="AI5" s="70"/>
      <c r="AJ5" s="402" t="s">
        <v>134</v>
      </c>
      <c r="AK5" s="460">
        <f>SUM(AK11:AK59)</f>
        <v>30858.011000000002</v>
      </c>
      <c r="AL5" s="746"/>
      <c r="AM5" s="746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46"/>
      <c r="AS5" s="746"/>
      <c r="AX5" s="746"/>
      <c r="AY5" s="746"/>
      <c r="BB5" s="746"/>
      <c r="BC5" s="746"/>
      <c r="BD5" s="741" t="s">
        <v>136</v>
      </c>
      <c r="BE5" s="741"/>
      <c r="BF5" s="741"/>
      <c r="BG5" s="741"/>
      <c r="BH5" s="741"/>
      <c r="BI5" s="741"/>
      <c r="BJ5" s="741"/>
      <c r="BK5" s="741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42" t="s">
        <v>335</v>
      </c>
      <c r="W23" s="743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44"/>
      <c r="W24" s="745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7" t="s">
        <v>524</v>
      </c>
      <c r="F38" s="748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0" t="s">
        <v>567</v>
      </c>
      <c r="C1" s="720"/>
      <c r="D1" s="732" t="s">
        <v>568</v>
      </c>
      <c r="E1" s="733"/>
      <c r="F1" s="720" t="s">
        <v>569</v>
      </c>
      <c r="G1" s="720"/>
      <c r="H1" s="749" t="s">
        <v>570</v>
      </c>
      <c r="I1" s="750"/>
      <c r="J1" s="732" t="s">
        <v>568</v>
      </c>
      <c r="K1" s="733"/>
      <c r="L1" s="720" t="s">
        <v>571</v>
      </c>
      <c r="M1" s="720"/>
      <c r="N1" s="749" t="s">
        <v>570</v>
      </c>
      <c r="O1" s="750"/>
      <c r="P1" s="732" t="s">
        <v>568</v>
      </c>
      <c r="Q1" s="733"/>
      <c r="R1" s="720" t="s">
        <v>572</v>
      </c>
      <c r="S1" s="720"/>
      <c r="T1" s="749" t="s">
        <v>570</v>
      </c>
      <c r="U1" s="750"/>
      <c r="V1" s="732" t="s">
        <v>568</v>
      </c>
      <c r="W1" s="733"/>
      <c r="X1" s="720" t="s">
        <v>573</v>
      </c>
      <c r="Y1" s="720"/>
      <c r="Z1" s="749" t="s">
        <v>570</v>
      </c>
      <c r="AA1" s="750"/>
      <c r="AB1" s="732" t="s">
        <v>568</v>
      </c>
      <c r="AC1" s="733"/>
      <c r="AD1" s="720" t="s">
        <v>574</v>
      </c>
      <c r="AE1" s="720"/>
      <c r="AF1" s="749" t="s">
        <v>570</v>
      </c>
      <c r="AG1" s="750"/>
      <c r="AH1" s="732" t="s">
        <v>568</v>
      </c>
      <c r="AI1" s="733"/>
      <c r="AJ1" s="720" t="s">
        <v>575</v>
      </c>
      <c r="AK1" s="720"/>
      <c r="AL1" s="749" t="s">
        <v>576</v>
      </c>
      <c r="AM1" s="750"/>
      <c r="AN1" s="732" t="s">
        <v>577</v>
      </c>
      <c r="AO1" s="733"/>
      <c r="AP1" s="720" t="s">
        <v>578</v>
      </c>
      <c r="AQ1" s="720"/>
      <c r="AR1" s="749" t="s">
        <v>570</v>
      </c>
      <c r="AS1" s="750"/>
      <c r="AT1" s="732" t="s">
        <v>568</v>
      </c>
      <c r="AU1" s="733"/>
      <c r="AV1" s="720" t="s">
        <v>579</v>
      </c>
      <c r="AW1" s="720"/>
      <c r="AX1" s="749" t="s">
        <v>570</v>
      </c>
      <c r="AY1" s="750"/>
      <c r="AZ1" s="732" t="s">
        <v>568</v>
      </c>
      <c r="BA1" s="733"/>
      <c r="BB1" s="720" t="s">
        <v>580</v>
      </c>
      <c r="BC1" s="720"/>
      <c r="BD1" s="749" t="s">
        <v>570</v>
      </c>
      <c r="BE1" s="750"/>
      <c r="BF1" s="732" t="s">
        <v>568</v>
      </c>
      <c r="BG1" s="733"/>
      <c r="BH1" s="720" t="s">
        <v>581</v>
      </c>
      <c r="BI1" s="720"/>
      <c r="BJ1" s="749" t="s">
        <v>570</v>
      </c>
      <c r="BK1" s="750"/>
      <c r="BL1" s="732" t="s">
        <v>568</v>
      </c>
      <c r="BM1" s="733"/>
      <c r="BN1" s="720" t="s">
        <v>582</v>
      </c>
      <c r="BO1" s="720"/>
      <c r="BP1" s="749" t="s">
        <v>570</v>
      </c>
      <c r="BQ1" s="750"/>
      <c r="BR1" s="732" t="s">
        <v>568</v>
      </c>
      <c r="BS1" s="733"/>
      <c r="BT1" s="720" t="s">
        <v>583</v>
      </c>
      <c r="BU1" s="720"/>
      <c r="BV1" s="749" t="s">
        <v>584</v>
      </c>
      <c r="BW1" s="750"/>
      <c r="BX1" s="732" t="s">
        <v>585</v>
      </c>
      <c r="BY1" s="733"/>
      <c r="BZ1" s="720" t="s">
        <v>586</v>
      </c>
      <c r="CA1" s="720"/>
      <c r="CB1" s="749" t="s">
        <v>587</v>
      </c>
      <c r="CC1" s="750"/>
      <c r="CD1" s="732" t="s">
        <v>588</v>
      </c>
      <c r="CE1" s="733"/>
      <c r="CF1" s="720" t="s">
        <v>589</v>
      </c>
      <c r="CG1" s="720"/>
      <c r="CH1" s="749" t="s">
        <v>587</v>
      </c>
      <c r="CI1" s="750"/>
      <c r="CJ1" s="732" t="s">
        <v>588</v>
      </c>
      <c r="CK1" s="733"/>
      <c r="CL1" s="720" t="s">
        <v>590</v>
      </c>
      <c r="CM1" s="720"/>
      <c r="CN1" s="749" t="s">
        <v>587</v>
      </c>
      <c r="CO1" s="750"/>
      <c r="CP1" s="732" t="s">
        <v>588</v>
      </c>
      <c r="CQ1" s="733"/>
      <c r="CR1" s="720" t="s">
        <v>591</v>
      </c>
      <c r="CS1" s="720"/>
      <c r="CT1" s="749" t="s">
        <v>587</v>
      </c>
      <c r="CU1" s="750"/>
      <c r="CV1" s="751" t="s">
        <v>588</v>
      </c>
      <c r="CW1" s="752"/>
      <c r="CX1" s="720" t="s">
        <v>592</v>
      </c>
      <c r="CY1" s="720"/>
      <c r="CZ1" s="749" t="s">
        <v>587</v>
      </c>
      <c r="DA1" s="750"/>
      <c r="DB1" s="751" t="s">
        <v>588</v>
      </c>
      <c r="DC1" s="752"/>
      <c r="DD1" s="720" t="s">
        <v>593</v>
      </c>
      <c r="DE1" s="720"/>
      <c r="DF1" s="749" t="s">
        <v>594</v>
      </c>
      <c r="DG1" s="750"/>
      <c r="DH1" s="751" t="s">
        <v>595</v>
      </c>
      <c r="DI1" s="752"/>
      <c r="DJ1" s="720" t="s">
        <v>596</v>
      </c>
      <c r="DK1" s="720"/>
      <c r="DL1" s="749" t="s">
        <v>594</v>
      </c>
      <c r="DM1" s="750"/>
      <c r="DN1" s="751" t="s">
        <v>588</v>
      </c>
      <c r="DO1" s="752"/>
      <c r="DP1" s="720" t="s">
        <v>597</v>
      </c>
      <c r="DQ1" s="720"/>
      <c r="DR1" s="749" t="s">
        <v>594</v>
      </c>
      <c r="DS1" s="750"/>
      <c r="DT1" s="751" t="s">
        <v>588</v>
      </c>
      <c r="DU1" s="752"/>
      <c r="DV1" s="720" t="s">
        <v>598</v>
      </c>
      <c r="DW1" s="720"/>
      <c r="DX1" s="749" t="s">
        <v>594</v>
      </c>
      <c r="DY1" s="750"/>
      <c r="DZ1" s="751" t="s">
        <v>588</v>
      </c>
      <c r="EA1" s="752"/>
      <c r="EB1" s="720" t="s">
        <v>599</v>
      </c>
      <c r="EC1" s="720"/>
      <c r="ED1" s="749" t="s">
        <v>594</v>
      </c>
      <c r="EE1" s="750"/>
      <c r="EF1" s="751" t="s">
        <v>588</v>
      </c>
      <c r="EG1" s="752"/>
      <c r="EH1" s="720" t="s">
        <v>600</v>
      </c>
      <c r="EI1" s="720"/>
      <c r="EJ1" s="749" t="s">
        <v>594</v>
      </c>
      <c r="EK1" s="750"/>
      <c r="EL1" s="751" t="s">
        <v>601</v>
      </c>
      <c r="EM1" s="752"/>
      <c r="EN1" s="720" t="s">
        <v>602</v>
      </c>
      <c r="EO1" s="720"/>
      <c r="EP1" s="749" t="s">
        <v>594</v>
      </c>
      <c r="EQ1" s="750"/>
      <c r="ER1" s="751" t="s">
        <v>603</v>
      </c>
      <c r="ES1" s="752"/>
      <c r="ET1" s="720" t="s">
        <v>604</v>
      </c>
      <c r="EU1" s="720"/>
      <c r="EV1" s="749" t="s">
        <v>594</v>
      </c>
      <c r="EW1" s="750"/>
      <c r="EX1" s="751" t="s">
        <v>103</v>
      </c>
      <c r="EY1" s="752"/>
      <c r="EZ1" s="720" t="s">
        <v>605</v>
      </c>
      <c r="FA1" s="720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53" t="s">
        <v>672</v>
      </c>
      <c r="CU7" s="720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53" t="s">
        <v>702</v>
      </c>
      <c r="DA8" s="720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53" t="s">
        <v>702</v>
      </c>
      <c r="DG8" s="720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53" t="s">
        <v>702</v>
      </c>
      <c r="DM8" s="720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53" t="s">
        <v>702</v>
      </c>
      <c r="DS8" s="720"/>
      <c r="DT8" s="14" t="s">
        <v>700</v>
      </c>
      <c r="DU8" s="14">
        <f>SUM(DU13:DU17)</f>
        <v>32</v>
      </c>
      <c r="DV8" s="9"/>
      <c r="DW8" s="9"/>
      <c r="DX8" s="753" t="s">
        <v>702</v>
      </c>
      <c r="DY8" s="72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3" t="s">
        <v>703</v>
      </c>
      <c r="EK8" s="72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53" t="s">
        <v>703</v>
      </c>
      <c r="EQ9" s="720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53" t="s">
        <v>703</v>
      </c>
      <c r="EW9" s="720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53" t="s">
        <v>703</v>
      </c>
      <c r="EE11" s="720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3" t="s">
        <v>702</v>
      </c>
      <c r="CU12" s="72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7" t="s">
        <v>912</v>
      </c>
      <c r="CU19" s="72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56" t="s">
        <v>943</v>
      </c>
      <c r="FA21" s="756"/>
      <c r="FC21" s="364">
        <f>FC20-FC22</f>
        <v>113457.16899999997</v>
      </c>
      <c r="FD21" s="342"/>
      <c r="FE21" s="757" t="s">
        <v>945</v>
      </c>
      <c r="FF21" s="757"/>
      <c r="FG21" s="75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6" t="s">
        <v>953</v>
      </c>
      <c r="FA22" s="756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56" t="s">
        <v>969</v>
      </c>
      <c r="FA23" s="756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56" t="s">
        <v>979</v>
      </c>
      <c r="FA24" s="756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54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55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54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55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MY1" workbookViewId="0">
      <selection activeCell="NT18" sqref="NT18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699" customWidth="1"/>
    <col min="381" max="381" width="8.7109375" style="46" bestFit="1" customWidth="1"/>
    <col min="382" max="382" width="20" style="699" bestFit="1" customWidth="1"/>
    <col min="383" max="383" width="9" style="699" customWidth="1"/>
    <col min="384" max="384" width="19" style="699" customWidth="1"/>
    <col min="385" max="385" width="10.140625" style="699" customWidth="1"/>
    <col min="386" max="386" width="7.140625" style="46" customWidth="1"/>
    <col min="387" max="387" width="9.42578125" style="699" customWidth="1"/>
    <col min="388" max="16384" width="14.5703125" style="14"/>
  </cols>
  <sheetData>
    <row r="1" spans="1:387">
      <c r="A1" s="759" t="s">
        <v>1017</v>
      </c>
      <c r="B1" s="759"/>
      <c r="C1" s="734" t="s">
        <v>92</v>
      </c>
      <c r="D1" s="735"/>
      <c r="E1" s="736" t="s">
        <v>1018</v>
      </c>
      <c r="F1" s="737"/>
      <c r="G1" s="759" t="s">
        <v>1019</v>
      </c>
      <c r="H1" s="759"/>
      <c r="I1" s="734" t="s">
        <v>92</v>
      </c>
      <c r="J1" s="735"/>
      <c r="K1" s="736" t="s">
        <v>1020</v>
      </c>
      <c r="L1" s="737"/>
      <c r="M1" s="759" t="s">
        <v>1021</v>
      </c>
      <c r="N1" s="759"/>
      <c r="O1" s="734" t="s">
        <v>92</v>
      </c>
      <c r="P1" s="735"/>
      <c r="Q1" s="736" t="s">
        <v>1022</v>
      </c>
      <c r="R1" s="737"/>
      <c r="S1" s="759" t="s">
        <v>1023</v>
      </c>
      <c r="T1" s="759"/>
      <c r="U1" s="734" t="s">
        <v>92</v>
      </c>
      <c r="V1" s="735"/>
      <c r="W1" s="736" t="s">
        <v>577</v>
      </c>
      <c r="X1" s="737"/>
      <c r="Y1" s="759" t="s">
        <v>1024</v>
      </c>
      <c r="Z1" s="759"/>
      <c r="AA1" s="734" t="s">
        <v>92</v>
      </c>
      <c r="AB1" s="735"/>
      <c r="AC1" s="736" t="s">
        <v>1025</v>
      </c>
      <c r="AD1" s="737"/>
      <c r="AE1" s="759" t="s">
        <v>1026</v>
      </c>
      <c r="AF1" s="759"/>
      <c r="AG1" s="734" t="s">
        <v>92</v>
      </c>
      <c r="AH1" s="735"/>
      <c r="AI1" s="736" t="s">
        <v>1027</v>
      </c>
      <c r="AJ1" s="737"/>
      <c r="AK1" s="759" t="s">
        <v>1028</v>
      </c>
      <c r="AL1" s="759"/>
      <c r="AM1" s="734" t="s">
        <v>1029</v>
      </c>
      <c r="AN1" s="735"/>
      <c r="AO1" s="736" t="s">
        <v>1030</v>
      </c>
      <c r="AP1" s="737"/>
      <c r="AQ1" s="759" t="s">
        <v>1031</v>
      </c>
      <c r="AR1" s="759"/>
      <c r="AS1" s="734" t="s">
        <v>1029</v>
      </c>
      <c r="AT1" s="735"/>
      <c r="AU1" s="736" t="s">
        <v>1032</v>
      </c>
      <c r="AV1" s="737"/>
      <c r="AW1" s="759" t="s">
        <v>1033</v>
      </c>
      <c r="AX1" s="759"/>
      <c r="AY1" s="736" t="s">
        <v>1034</v>
      </c>
      <c r="AZ1" s="737"/>
      <c r="BA1" s="759" t="s">
        <v>1033</v>
      </c>
      <c r="BB1" s="759"/>
      <c r="BC1" s="734" t="s">
        <v>594</v>
      </c>
      <c r="BD1" s="735"/>
      <c r="BE1" s="736" t="s">
        <v>1035</v>
      </c>
      <c r="BF1" s="737"/>
      <c r="BG1" s="759" t="s">
        <v>1036</v>
      </c>
      <c r="BH1" s="759"/>
      <c r="BI1" s="734" t="s">
        <v>594</v>
      </c>
      <c r="BJ1" s="735"/>
      <c r="BK1" s="736" t="s">
        <v>1035</v>
      </c>
      <c r="BL1" s="737"/>
      <c r="BM1" s="759" t="s">
        <v>1037</v>
      </c>
      <c r="BN1" s="759"/>
      <c r="BO1" s="734" t="s">
        <v>594</v>
      </c>
      <c r="BP1" s="735"/>
      <c r="BQ1" s="736" t="s">
        <v>1038</v>
      </c>
      <c r="BR1" s="737"/>
      <c r="BS1" s="759" t="s">
        <v>1039</v>
      </c>
      <c r="BT1" s="759"/>
      <c r="BU1" s="734" t="s">
        <v>594</v>
      </c>
      <c r="BV1" s="735"/>
      <c r="BW1" s="736" t="s">
        <v>1040</v>
      </c>
      <c r="BX1" s="737"/>
      <c r="BY1" s="759" t="s">
        <v>1041</v>
      </c>
      <c r="BZ1" s="759"/>
      <c r="CA1" s="734" t="s">
        <v>594</v>
      </c>
      <c r="CB1" s="735"/>
      <c r="CC1" s="736" t="s">
        <v>1038</v>
      </c>
      <c r="CD1" s="737"/>
      <c r="CE1" s="759" t="s">
        <v>1042</v>
      </c>
      <c r="CF1" s="759"/>
      <c r="CG1" s="734" t="s">
        <v>594</v>
      </c>
      <c r="CH1" s="735"/>
      <c r="CI1" s="736" t="s">
        <v>1040</v>
      </c>
      <c r="CJ1" s="737"/>
      <c r="CK1" s="759" t="s">
        <v>1043</v>
      </c>
      <c r="CL1" s="759"/>
      <c r="CM1" s="734" t="s">
        <v>594</v>
      </c>
      <c r="CN1" s="735"/>
      <c r="CO1" s="736" t="s">
        <v>1038</v>
      </c>
      <c r="CP1" s="737"/>
      <c r="CQ1" s="759" t="s">
        <v>1044</v>
      </c>
      <c r="CR1" s="759"/>
      <c r="CS1" s="760" t="s">
        <v>594</v>
      </c>
      <c r="CT1" s="761"/>
      <c r="CU1" s="736" t="s">
        <v>1045</v>
      </c>
      <c r="CV1" s="737"/>
      <c r="CW1" s="759" t="s">
        <v>1046</v>
      </c>
      <c r="CX1" s="759"/>
      <c r="CY1" s="760" t="s">
        <v>594</v>
      </c>
      <c r="CZ1" s="761"/>
      <c r="DA1" s="736" t="s">
        <v>1047</v>
      </c>
      <c r="DB1" s="737"/>
      <c r="DC1" s="759" t="s">
        <v>1048</v>
      </c>
      <c r="DD1" s="759"/>
      <c r="DE1" s="760" t="s">
        <v>594</v>
      </c>
      <c r="DF1" s="761"/>
      <c r="DG1" s="736" t="s">
        <v>1049</v>
      </c>
      <c r="DH1" s="737"/>
      <c r="DI1" s="759" t="s">
        <v>1050</v>
      </c>
      <c r="DJ1" s="759"/>
      <c r="DK1" s="760" t="s">
        <v>594</v>
      </c>
      <c r="DL1" s="761"/>
      <c r="DM1" s="736" t="s">
        <v>1045</v>
      </c>
      <c r="DN1" s="737"/>
      <c r="DO1" s="759" t="s">
        <v>1051</v>
      </c>
      <c r="DP1" s="759"/>
      <c r="DQ1" s="760" t="s">
        <v>594</v>
      </c>
      <c r="DR1" s="761"/>
      <c r="DS1" s="736" t="s">
        <v>1052</v>
      </c>
      <c r="DT1" s="737"/>
      <c r="DU1" s="759" t="s">
        <v>1053</v>
      </c>
      <c r="DV1" s="759"/>
      <c r="DW1" s="760" t="s">
        <v>594</v>
      </c>
      <c r="DX1" s="761"/>
      <c r="DY1" s="736" t="s">
        <v>1054</v>
      </c>
      <c r="DZ1" s="737"/>
      <c r="EA1" s="758" t="s">
        <v>1055</v>
      </c>
      <c r="EB1" s="758"/>
      <c r="EC1" s="760" t="s">
        <v>594</v>
      </c>
      <c r="ED1" s="761"/>
      <c r="EE1" s="736" t="s">
        <v>1052</v>
      </c>
      <c r="EF1" s="737"/>
      <c r="EG1" s="51"/>
      <c r="EH1" s="758" t="s">
        <v>1056</v>
      </c>
      <c r="EI1" s="758"/>
      <c r="EJ1" s="760" t="s">
        <v>594</v>
      </c>
      <c r="EK1" s="761"/>
      <c r="EL1" s="736" t="s">
        <v>1057</v>
      </c>
      <c r="EM1" s="737"/>
      <c r="EN1" s="758" t="s">
        <v>1058</v>
      </c>
      <c r="EO1" s="758"/>
      <c r="EP1" s="760" t="s">
        <v>594</v>
      </c>
      <c r="EQ1" s="761"/>
      <c r="ER1" s="736" t="s">
        <v>1059</v>
      </c>
      <c r="ES1" s="737"/>
      <c r="ET1" s="758" t="s">
        <v>1060</v>
      </c>
      <c r="EU1" s="758"/>
      <c r="EV1" s="760" t="s">
        <v>594</v>
      </c>
      <c r="EW1" s="761"/>
      <c r="EX1" s="736" t="s">
        <v>1054</v>
      </c>
      <c r="EY1" s="737"/>
      <c r="EZ1" s="758" t="s">
        <v>1061</v>
      </c>
      <c r="FA1" s="758"/>
      <c r="FB1" s="760" t="s">
        <v>594</v>
      </c>
      <c r="FC1" s="761"/>
      <c r="FD1" s="736" t="s">
        <v>1047</v>
      </c>
      <c r="FE1" s="737"/>
      <c r="FF1" s="758" t="s">
        <v>1062</v>
      </c>
      <c r="FG1" s="758"/>
      <c r="FH1" s="760" t="s">
        <v>594</v>
      </c>
      <c r="FI1" s="761"/>
      <c r="FJ1" s="736" t="s">
        <v>1045</v>
      </c>
      <c r="FK1" s="737"/>
      <c r="FL1" s="758" t="s">
        <v>1063</v>
      </c>
      <c r="FM1" s="758"/>
      <c r="FN1" s="760" t="s">
        <v>594</v>
      </c>
      <c r="FO1" s="761"/>
      <c r="FP1" s="736" t="s">
        <v>1064</v>
      </c>
      <c r="FQ1" s="737"/>
      <c r="FR1" s="758" t="s">
        <v>1065</v>
      </c>
      <c r="FS1" s="758"/>
      <c r="FT1" s="760" t="s">
        <v>594</v>
      </c>
      <c r="FU1" s="761"/>
      <c r="FV1" s="736" t="s">
        <v>1064</v>
      </c>
      <c r="FW1" s="737"/>
      <c r="FX1" s="758" t="s">
        <v>1066</v>
      </c>
      <c r="FY1" s="758"/>
      <c r="FZ1" s="760" t="s">
        <v>594</v>
      </c>
      <c r="GA1" s="761"/>
      <c r="GB1" s="736" t="s">
        <v>1054</v>
      </c>
      <c r="GC1" s="737"/>
      <c r="GD1" s="758" t="s">
        <v>1067</v>
      </c>
      <c r="GE1" s="758"/>
      <c r="GF1" s="760" t="s">
        <v>594</v>
      </c>
      <c r="GG1" s="761"/>
      <c r="GH1" s="736" t="s">
        <v>1052</v>
      </c>
      <c r="GI1" s="737"/>
      <c r="GJ1" s="758" t="s">
        <v>1068</v>
      </c>
      <c r="GK1" s="758"/>
      <c r="GL1" s="760" t="s">
        <v>594</v>
      </c>
      <c r="GM1" s="761"/>
      <c r="GN1" s="736" t="s">
        <v>1052</v>
      </c>
      <c r="GO1" s="737"/>
      <c r="GP1" s="758" t="s">
        <v>1069</v>
      </c>
      <c r="GQ1" s="758"/>
      <c r="GR1" s="760" t="s">
        <v>594</v>
      </c>
      <c r="GS1" s="761"/>
      <c r="GT1" s="736" t="s">
        <v>1057</v>
      </c>
      <c r="GU1" s="737"/>
      <c r="GV1" s="758" t="s">
        <v>1070</v>
      </c>
      <c r="GW1" s="758"/>
      <c r="GX1" s="760" t="s">
        <v>594</v>
      </c>
      <c r="GY1" s="761"/>
      <c r="GZ1" s="736" t="s">
        <v>1071</v>
      </c>
      <c r="HA1" s="737"/>
      <c r="HB1" s="758" t="s">
        <v>1072</v>
      </c>
      <c r="HC1" s="758"/>
      <c r="HD1" s="760" t="s">
        <v>594</v>
      </c>
      <c r="HE1" s="761"/>
      <c r="HF1" s="736" t="s">
        <v>1059</v>
      </c>
      <c r="HG1" s="737"/>
      <c r="HH1" s="758" t="s">
        <v>1073</v>
      </c>
      <c r="HI1" s="758"/>
      <c r="HJ1" s="760" t="s">
        <v>594</v>
      </c>
      <c r="HK1" s="761"/>
      <c r="HL1" s="736" t="s">
        <v>1045</v>
      </c>
      <c r="HM1" s="737"/>
      <c r="HN1" s="758" t="s">
        <v>1074</v>
      </c>
      <c r="HO1" s="758"/>
      <c r="HP1" s="760" t="s">
        <v>594</v>
      </c>
      <c r="HQ1" s="761"/>
      <c r="HR1" s="736" t="s">
        <v>1045</v>
      </c>
      <c r="HS1" s="737"/>
      <c r="HT1" s="758" t="s">
        <v>1075</v>
      </c>
      <c r="HU1" s="758"/>
      <c r="HV1" s="760" t="s">
        <v>594</v>
      </c>
      <c r="HW1" s="761"/>
      <c r="HX1" s="736" t="s">
        <v>1054</v>
      </c>
      <c r="HY1" s="737"/>
      <c r="HZ1" s="758" t="s">
        <v>1076</v>
      </c>
      <c r="IA1" s="758"/>
      <c r="IB1" s="760" t="s">
        <v>594</v>
      </c>
      <c r="IC1" s="761"/>
      <c r="ID1" s="736" t="s">
        <v>1059</v>
      </c>
      <c r="IE1" s="737"/>
      <c r="IF1" s="758" t="s">
        <v>1077</v>
      </c>
      <c r="IG1" s="758"/>
      <c r="IH1" s="760" t="s">
        <v>594</v>
      </c>
      <c r="II1" s="761"/>
      <c r="IJ1" s="736" t="s">
        <v>1052</v>
      </c>
      <c r="IK1" s="737"/>
      <c r="IL1" s="758" t="s">
        <v>1078</v>
      </c>
      <c r="IM1" s="758"/>
      <c r="IN1" s="760" t="s">
        <v>594</v>
      </c>
      <c r="IO1" s="761"/>
      <c r="IP1" s="736" t="s">
        <v>1054</v>
      </c>
      <c r="IQ1" s="737"/>
      <c r="IR1" s="758" t="s">
        <v>1079</v>
      </c>
      <c r="IS1" s="758"/>
      <c r="IT1" s="760" t="s">
        <v>594</v>
      </c>
      <c r="IU1" s="761"/>
      <c r="IV1" s="736" t="s">
        <v>1080</v>
      </c>
      <c r="IW1" s="737"/>
      <c r="IX1" s="758" t="s">
        <v>1081</v>
      </c>
      <c r="IY1" s="758"/>
      <c r="IZ1" s="760" t="s">
        <v>594</v>
      </c>
      <c r="JA1" s="761"/>
      <c r="JB1" s="736" t="s">
        <v>1064</v>
      </c>
      <c r="JC1" s="737"/>
      <c r="JD1" s="758" t="s">
        <v>1082</v>
      </c>
      <c r="JE1" s="758"/>
      <c r="JF1" s="760" t="s">
        <v>594</v>
      </c>
      <c r="JG1" s="761"/>
      <c r="JH1" s="736" t="s">
        <v>1080</v>
      </c>
      <c r="JI1" s="737"/>
      <c r="JJ1" s="758" t="s">
        <v>1083</v>
      </c>
      <c r="JK1" s="758"/>
      <c r="JL1" s="576" t="s">
        <v>594</v>
      </c>
      <c r="JM1" s="108"/>
      <c r="JN1" s="542" t="s">
        <v>1080</v>
      </c>
      <c r="JO1" s="51"/>
      <c r="JP1" s="758" t="s">
        <v>1084</v>
      </c>
      <c r="JQ1" s="758"/>
      <c r="JR1" s="576" t="s">
        <v>594</v>
      </c>
      <c r="JS1" s="108"/>
      <c r="JT1" s="542" t="s">
        <v>1057</v>
      </c>
      <c r="JU1" s="51"/>
      <c r="JV1" s="758" t="s">
        <v>1085</v>
      </c>
      <c r="JW1" s="758"/>
      <c r="JX1" s="576" t="s">
        <v>594</v>
      </c>
      <c r="JY1" s="108"/>
      <c r="JZ1" s="542" t="s">
        <v>1086</v>
      </c>
      <c r="KA1" s="51"/>
      <c r="KB1" s="758" t="s">
        <v>1087</v>
      </c>
      <c r="KC1" s="758"/>
      <c r="KD1" s="576" t="s">
        <v>594</v>
      </c>
      <c r="KE1" s="108"/>
      <c r="KF1" s="542" t="s">
        <v>1045</v>
      </c>
      <c r="KG1" s="51"/>
      <c r="KH1" s="758" t="s">
        <v>1088</v>
      </c>
      <c r="KI1" s="758"/>
      <c r="KJ1" s="576" t="s">
        <v>594</v>
      </c>
      <c r="KK1" s="108"/>
      <c r="KL1" s="542" t="s">
        <v>1052</v>
      </c>
      <c r="KM1" s="51"/>
      <c r="KN1" s="758" t="s">
        <v>1089</v>
      </c>
      <c r="KO1" s="758"/>
      <c r="KP1" s="576" t="s">
        <v>594</v>
      </c>
      <c r="KQ1" s="108"/>
      <c r="KR1" s="542" t="s">
        <v>1052</v>
      </c>
      <c r="KS1" s="51"/>
      <c r="KT1" s="758" t="s">
        <v>1090</v>
      </c>
      <c r="KU1" s="758"/>
      <c r="KV1" s="576" t="s">
        <v>594</v>
      </c>
      <c r="KW1" s="108"/>
      <c r="KX1" s="542" t="s">
        <v>1052</v>
      </c>
      <c r="KY1" s="51"/>
      <c r="KZ1" s="758" t="s">
        <v>1091</v>
      </c>
      <c r="LA1" s="758"/>
      <c r="LB1" s="576" t="s">
        <v>594</v>
      </c>
      <c r="LC1" s="108"/>
      <c r="LD1" s="542" t="s">
        <v>1080</v>
      </c>
      <c r="LE1" s="51"/>
      <c r="LF1" s="758" t="s">
        <v>1092</v>
      </c>
      <c r="LG1" s="758"/>
      <c r="LH1" s="576" t="s">
        <v>594</v>
      </c>
      <c r="LI1" s="108"/>
      <c r="LJ1" s="542" t="s">
        <v>1080</v>
      </c>
      <c r="LK1" s="51"/>
      <c r="LL1" s="758" t="s">
        <v>1093</v>
      </c>
      <c r="LM1" s="758"/>
      <c r="LN1" s="576" t="s">
        <v>594</v>
      </c>
      <c r="LO1" s="306"/>
      <c r="LP1" s="542" t="s">
        <v>1080</v>
      </c>
      <c r="LQ1" s="51"/>
      <c r="LR1" s="758" t="s">
        <v>1094</v>
      </c>
      <c r="LS1" s="758"/>
      <c r="LT1" s="576" t="s">
        <v>594</v>
      </c>
      <c r="LU1" s="306"/>
      <c r="LV1" s="542" t="s">
        <v>1064</v>
      </c>
      <c r="LW1" s="51"/>
      <c r="LX1" s="758" t="s">
        <v>1095</v>
      </c>
      <c r="LY1" s="758"/>
      <c r="LZ1" s="576" t="s">
        <v>594</v>
      </c>
      <c r="MA1" s="306"/>
      <c r="MB1" s="542" t="s">
        <v>1080</v>
      </c>
      <c r="MC1" s="51"/>
      <c r="MD1" s="762" t="s">
        <v>1096</v>
      </c>
      <c r="ME1" s="758"/>
      <c r="MF1" s="576" t="s">
        <v>594</v>
      </c>
      <c r="MG1" s="306"/>
      <c r="MH1" s="542" t="s">
        <v>1080</v>
      </c>
      <c r="MI1" s="51"/>
      <c r="MJ1" s="762" t="s">
        <v>1097</v>
      </c>
      <c r="MK1" s="758"/>
      <c r="ML1" s="576" t="s">
        <v>594</v>
      </c>
      <c r="MM1" s="306"/>
      <c r="MN1" s="542" t="s">
        <v>1080</v>
      </c>
      <c r="MO1" s="51"/>
      <c r="MP1" s="758" t="s">
        <v>3409</v>
      </c>
      <c r="MQ1" s="758"/>
      <c r="MR1" s="591" t="s">
        <v>594</v>
      </c>
      <c r="MS1" s="306"/>
      <c r="MT1" s="588" t="s">
        <v>1080</v>
      </c>
      <c r="MU1" s="589"/>
      <c r="MV1" s="758" t="s">
        <v>3446</v>
      </c>
      <c r="MW1" s="758"/>
      <c r="MX1" s="627" t="s">
        <v>594</v>
      </c>
      <c r="MY1" s="306"/>
      <c r="MZ1" s="624" t="s">
        <v>1080</v>
      </c>
      <c r="NA1" s="625"/>
      <c r="NB1" s="758" t="s">
        <v>3510</v>
      </c>
      <c r="NC1" s="758"/>
      <c r="ND1" s="655" t="s">
        <v>594</v>
      </c>
      <c r="NE1" s="306"/>
      <c r="NF1" s="666" t="s">
        <v>1045</v>
      </c>
      <c r="NG1" s="646"/>
      <c r="NH1" s="758" t="s">
        <v>3548</v>
      </c>
      <c r="NI1" s="758"/>
      <c r="NJ1" s="669" t="s">
        <v>594</v>
      </c>
      <c r="NK1" s="306"/>
      <c r="NL1" s="666" t="s">
        <v>1080</v>
      </c>
      <c r="NM1" s="667"/>
      <c r="NN1" s="758" t="s">
        <v>3592</v>
      </c>
      <c r="NO1" s="758"/>
      <c r="NP1" s="702" t="s">
        <v>594</v>
      </c>
      <c r="NQ1" s="306"/>
      <c r="NR1" s="692" t="s">
        <v>1080</v>
      </c>
      <c r="NS1" s="693"/>
      <c r="NT1" s="758" t="s">
        <v>3452</v>
      </c>
      <c r="NU1" s="758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SUM(NE4:NE25)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SUM(NK3:NK21)</f>
        <v>32433.861000000004</v>
      </c>
      <c r="NL2" s="73" t="s">
        <v>116</v>
      </c>
      <c r="NM2" s="316">
        <f>NK2+NI2-NO2</f>
        <v>4796.0109999999404</v>
      </c>
      <c r="NN2" s="670" t="s">
        <v>1108</v>
      </c>
      <c r="NO2" s="48">
        <f>SUM(NO9:NO35)</f>
        <v>352551.66000000003</v>
      </c>
      <c r="NP2" s="699" t="s">
        <v>1104</v>
      </c>
      <c r="NQ2" s="252">
        <f>SUM(NQ4:NQ21)</f>
        <v>7330.02</v>
      </c>
      <c r="NR2" s="73" t="s">
        <v>116</v>
      </c>
      <c r="NS2" s="316">
        <f>NQ2+NO2-NU2</f>
        <v>3760.6100000000442</v>
      </c>
      <c r="NT2" s="699" t="s">
        <v>1108</v>
      </c>
      <c r="NU2" s="48">
        <f>SUM(NU8:NU38)</f>
        <v>356121.07</v>
      </c>
    </row>
    <row r="3" spans="1:387">
      <c r="A3" s="782" t="s">
        <v>1109</v>
      </c>
      <c r="B3" s="782"/>
      <c r="E3" s="56" t="s">
        <v>123</v>
      </c>
      <c r="F3" s="55">
        <f>F2-F4</f>
        <v>17</v>
      </c>
      <c r="G3" s="782" t="s">
        <v>1109</v>
      </c>
      <c r="H3" s="782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NG2-NE27-NE26</f>
        <v>6463.2910000000265</v>
      </c>
      <c r="NH3" s="652" t="s">
        <v>3482</v>
      </c>
      <c r="NI3" s="652" t="s">
        <v>3559</v>
      </c>
      <c r="NJ3" s="670" t="s">
        <v>1131</v>
      </c>
      <c r="NK3" s="122">
        <v>18607.38</v>
      </c>
      <c r="NL3" s="670" t="s">
        <v>3457</v>
      </c>
      <c r="NM3" s="94">
        <f>NM2-NK25-NK24</f>
        <v>2842.2909999999406</v>
      </c>
      <c r="NN3" s="670" t="s">
        <v>3482</v>
      </c>
      <c r="NO3" s="599" t="s">
        <v>3604</v>
      </c>
      <c r="NQ3" s="252"/>
      <c r="NR3" s="699" t="s">
        <v>3457</v>
      </c>
      <c r="NS3" s="94">
        <f>NS2-NQ27-NQ26</f>
        <v>1860.5000000000443</v>
      </c>
      <c r="NT3" s="699" t="s">
        <v>3482</v>
      </c>
      <c r="NU3" s="599" t="s">
        <v>3598</v>
      </c>
    </row>
    <row r="4" spans="1:387" ht="12.75" customHeight="1" thickBot="1">
      <c r="A4" s="782"/>
      <c r="B4" s="782"/>
      <c r="E4" s="56" t="s">
        <v>134</v>
      </c>
      <c r="F4" s="55">
        <f>SUM(F14:F57)</f>
        <v>12750</v>
      </c>
      <c r="G4" s="782"/>
      <c r="H4" s="782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7.0999999938976543E-2</v>
      </c>
      <c r="NN4" s="295">
        <v>6000</v>
      </c>
      <c r="NO4" s="296">
        <v>45608</v>
      </c>
      <c r="NP4" s="699" t="s">
        <v>1131</v>
      </c>
      <c r="NQ4" s="122"/>
      <c r="NR4" s="699" t="s">
        <v>3456</v>
      </c>
      <c r="NS4" s="332">
        <f>NS2-NS5</f>
        <v>-0.2799999999560896</v>
      </c>
      <c r="NT4" s="295">
        <v>6000</v>
      </c>
      <c r="NU4" s="296">
        <v>45636</v>
      </c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3549</v>
      </c>
      <c r="NK5" s="609">
        <v>121</v>
      </c>
      <c r="NL5" s="670" t="s">
        <v>134</v>
      </c>
      <c r="NM5" s="94">
        <f>SUM(NM6:NM36)</f>
        <v>4795.9400000000014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699" t="s">
        <v>134</v>
      </c>
      <c r="NS5" s="94">
        <f>SUM(NS6:NS41)</f>
        <v>3760.8900000000003</v>
      </c>
      <c r="NT5" s="39">
        <v>8000</v>
      </c>
      <c r="NU5" s="40">
        <v>45650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3628</v>
      </c>
      <c r="NG6" s="46">
        <v>5000</v>
      </c>
      <c r="NH6" s="39">
        <v>6000</v>
      </c>
      <c r="NI6" s="40">
        <v>45608</v>
      </c>
      <c r="NJ6" s="599" t="s">
        <v>3571</v>
      </c>
      <c r="NK6" s="609">
        <v>200</v>
      </c>
      <c r="NL6" s="663" t="s">
        <v>3552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3552</v>
      </c>
      <c r="NS6" s="46">
        <v>1900.11</v>
      </c>
      <c r="NT6" s="39">
        <v>12000</v>
      </c>
      <c r="NU6" s="40">
        <v>45664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4" t="s">
        <v>3485</v>
      </c>
      <c r="NA7" s="46">
        <v>59.57</v>
      </c>
      <c r="NB7" s="39">
        <v>8000</v>
      </c>
      <c r="NC7" s="40">
        <v>45580</v>
      </c>
      <c r="ND7" s="599" t="s">
        <v>3527</v>
      </c>
      <c r="NE7" s="46">
        <v>3960.9</v>
      </c>
      <c r="NF7" s="665" t="s">
        <v>3539</v>
      </c>
      <c r="NG7" s="46">
        <v>12985</v>
      </c>
      <c r="NH7" s="41" t="s">
        <v>1187</v>
      </c>
      <c r="NI7" s="297">
        <v>77000</v>
      </c>
      <c r="NJ7" s="708"/>
      <c r="NL7" s="665" t="s">
        <v>3627</v>
      </c>
      <c r="NM7" s="46">
        <v>53.62</v>
      </c>
      <c r="NN7" s="39">
        <v>12000</v>
      </c>
      <c r="NO7" s="40">
        <v>45664</v>
      </c>
      <c r="NP7" s="699" t="s">
        <v>3624</v>
      </c>
      <c r="NQ7" s="609"/>
      <c r="NR7" s="665" t="s">
        <v>1544</v>
      </c>
      <c r="NS7" s="46"/>
      <c r="NT7" s="39">
        <v>18000</v>
      </c>
      <c r="NU7" s="40">
        <v>45678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3538</v>
      </c>
      <c r="NE8" s="609">
        <v>2943</v>
      </c>
      <c r="NF8" s="665" t="s">
        <v>3540</v>
      </c>
      <c r="NG8" s="46">
        <f>13002*2</f>
        <v>26004</v>
      </c>
      <c r="NH8" s="653" t="s">
        <v>1220</v>
      </c>
      <c r="NI8" s="48">
        <v>-3000</v>
      </c>
      <c r="NJ8" s="670" t="s">
        <v>3593</v>
      </c>
      <c r="NK8" s="252"/>
      <c r="NL8" s="599" t="s">
        <v>1306</v>
      </c>
      <c r="NM8" s="670">
        <v>17.05</v>
      </c>
      <c r="NN8" s="39">
        <v>18000</v>
      </c>
      <c r="NO8" s="40">
        <v>45678</v>
      </c>
      <c r="NP8" s="709" t="s">
        <v>3602</v>
      </c>
      <c r="NQ8" s="46">
        <v>1840</v>
      </c>
      <c r="NR8" s="599" t="s">
        <v>3614</v>
      </c>
      <c r="NS8" s="699">
        <v>293.85000000000002</v>
      </c>
      <c r="NT8" s="41" t="s">
        <v>1187</v>
      </c>
      <c r="NU8" s="297">
        <v>44000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3624</v>
      </c>
      <c r="NF9" s="150" t="s">
        <v>3518</v>
      </c>
      <c r="NG9" s="46">
        <v>42.12</v>
      </c>
      <c r="NH9" s="647" t="s">
        <v>3499</v>
      </c>
      <c r="NI9" s="97">
        <v>-92000</v>
      </c>
      <c r="NJ9" s="670" t="s">
        <v>3591</v>
      </c>
      <c r="NK9" s="252">
        <f>53.001</f>
        <v>53.000999999999998</v>
      </c>
      <c r="NL9" s="150" t="s">
        <v>3518</v>
      </c>
      <c r="NM9" s="46">
        <v>65.8</v>
      </c>
      <c r="NN9" s="41" t="s">
        <v>1187</v>
      </c>
      <c r="NO9" s="297">
        <v>50000</v>
      </c>
      <c r="NP9" s="713" t="s">
        <v>3606</v>
      </c>
      <c r="NQ9" s="46">
        <f>1850*2</f>
        <v>3700</v>
      </c>
      <c r="NR9" s="150" t="s">
        <v>3518</v>
      </c>
      <c r="NS9" s="46" t="s">
        <v>3601</v>
      </c>
      <c r="NT9" s="700" t="s">
        <v>1220</v>
      </c>
      <c r="NU9" s="48">
        <v>-3000</v>
      </c>
      <c r="NV9" s="334"/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3557</v>
      </c>
      <c r="NE10" s="122">
        <f>1820*3</f>
        <v>5460</v>
      </c>
      <c r="NF10" s="150" t="s">
        <v>3530</v>
      </c>
      <c r="NG10" s="46">
        <v>200</v>
      </c>
      <c r="NH10" s="653" t="s">
        <v>3484</v>
      </c>
      <c r="NI10" s="48">
        <v>30000</v>
      </c>
      <c r="NJ10" s="323" t="s">
        <v>3574</v>
      </c>
      <c r="NK10" s="252">
        <v>34.06</v>
      </c>
      <c r="NL10" s="150" t="s">
        <v>3542</v>
      </c>
      <c r="NM10" s="60">
        <v>35.799999999999997</v>
      </c>
      <c r="NN10" s="673" t="s">
        <v>1220</v>
      </c>
      <c r="NO10" s="48">
        <v>-3000</v>
      </c>
      <c r="NP10" s="696"/>
      <c r="NR10" s="150" t="s">
        <v>3597</v>
      </c>
      <c r="NS10" s="599">
        <v>81.849999999999994</v>
      </c>
      <c r="NT10" s="694" t="s">
        <v>3499</v>
      </c>
      <c r="NU10" s="97">
        <v>-100000</v>
      </c>
      <c r="NV10" s="334">
        <v>45612</v>
      </c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719"/>
      <c r="NE11" s="122"/>
      <c r="NF11" s="150" t="s">
        <v>3542</v>
      </c>
      <c r="NG11" s="60">
        <v>71.599999999999994</v>
      </c>
      <c r="NH11" s="664" t="s">
        <v>3531</v>
      </c>
      <c r="NI11" s="48">
        <v>5000</v>
      </c>
      <c r="NJ11" s="671" t="s">
        <v>3621</v>
      </c>
      <c r="NK11" s="586">
        <f>79.99+2.34</f>
        <v>82.33</v>
      </c>
      <c r="NL11" s="150" t="s">
        <v>3581</v>
      </c>
      <c r="NM11" s="49">
        <f>10.9*2</f>
        <v>21.8</v>
      </c>
      <c r="NN11" s="672" t="s">
        <v>3499</v>
      </c>
      <c r="NO11" s="97">
        <v>-102000</v>
      </c>
      <c r="NP11" s="706" t="s">
        <v>3593</v>
      </c>
      <c r="NQ11" s="252"/>
      <c r="NR11" s="150" t="s">
        <v>3542</v>
      </c>
      <c r="NS11" s="60"/>
      <c r="NT11" s="94" t="s">
        <v>1537</v>
      </c>
      <c r="NU11" s="97">
        <v>72000</v>
      </c>
      <c r="NV11" s="334">
        <v>45603</v>
      </c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1268</v>
      </c>
      <c r="NE12" s="252"/>
      <c r="NF12" s="150" t="s">
        <v>3596</v>
      </c>
      <c r="NG12" s="49">
        <f>91.72+10.9</f>
        <v>102.62</v>
      </c>
      <c r="NH12" s="653" t="s">
        <v>3532</v>
      </c>
      <c r="NI12" s="48">
        <v>204003</v>
      </c>
      <c r="NJ12" s="677" t="s">
        <v>3555</v>
      </c>
      <c r="NK12" s="586">
        <v>67.599999999999994</v>
      </c>
      <c r="NL12" s="690" t="s">
        <v>3582</v>
      </c>
      <c r="NM12" s="707">
        <v>286.05</v>
      </c>
      <c r="NN12" s="673" t="s">
        <v>3561</v>
      </c>
      <c r="NO12" s="48">
        <v>297460</v>
      </c>
      <c r="NP12" s="699" t="s">
        <v>3424</v>
      </c>
      <c r="NQ12" s="252">
        <f>55.85+2.07</f>
        <v>57.92</v>
      </c>
      <c r="NR12" s="150" t="s">
        <v>3612</v>
      </c>
      <c r="NS12" s="49">
        <v>10.9</v>
      </c>
      <c r="NT12" s="700" t="s">
        <v>1540</v>
      </c>
      <c r="NU12" s="48">
        <v>241000</v>
      </c>
      <c r="NV12" s="606">
        <v>45613</v>
      </c>
      <c r="NW12" s="705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52" t="s">
        <v>3424</v>
      </c>
      <c r="NE13" s="252">
        <v>71.001000000000005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2" t="s">
        <v>1786</v>
      </c>
      <c r="NK13" s="252">
        <f>35.99+64.79+179.96</f>
        <v>280.74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6" t="s">
        <v>1381</v>
      </c>
      <c r="NQ13" s="252">
        <v>4.8099999999999996</v>
      </c>
      <c r="NR13" s="690" t="s">
        <v>1986</v>
      </c>
      <c r="NS13" s="689"/>
      <c r="NT13" s="700" t="s">
        <v>3600</v>
      </c>
      <c r="NU13" s="623">
        <v>100741</v>
      </c>
      <c r="NV13" s="606">
        <v>45603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63" t="s">
        <v>1631</v>
      </c>
      <c r="DP14" s="764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8" t="s">
        <v>1649</v>
      </c>
      <c r="HK14" s="758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3541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3563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49" t="s">
        <v>3545</v>
      </c>
      <c r="NE14" s="586">
        <f>80.35+7.91</f>
        <v>88.259999999999991</v>
      </c>
      <c r="NF14" s="150" t="s">
        <v>1612</v>
      </c>
      <c r="NG14" s="46">
        <f>13.57+9*2</f>
        <v>31.57</v>
      </c>
      <c r="NH14" s="664" t="s">
        <v>3534</v>
      </c>
      <c r="NI14" s="623">
        <v>12</v>
      </c>
      <c r="NJ14" s="47" t="s">
        <v>3586</v>
      </c>
      <c r="NK14" s="46">
        <f>27.64+0.55</f>
        <v>28.19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717" t="s">
        <v>3619</v>
      </c>
      <c r="NQ14" s="252">
        <v>558.57000000000005</v>
      </c>
      <c r="NR14" s="150" t="s">
        <v>1547</v>
      </c>
      <c r="NS14" s="60">
        <f>7.6</f>
        <v>7.6</v>
      </c>
      <c r="NT14" s="700" t="s">
        <v>1482</v>
      </c>
      <c r="NU14" s="623">
        <v>0</v>
      </c>
      <c r="NV14" s="606">
        <v>45614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65" t="s">
        <v>1605</v>
      </c>
      <c r="KE15" s="765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62" t="s">
        <v>3529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47" t="s">
        <v>3587</v>
      </c>
      <c r="NK15" s="46">
        <f>34+0.74</f>
        <v>34.74</v>
      </c>
      <c r="NL15" s="150" t="s">
        <v>1675</v>
      </c>
      <c r="NM15" s="46">
        <f>14.72+17.58+14.81+14.9+10+19.87+17.03+16.87</f>
        <v>125.78</v>
      </c>
      <c r="NN15" s="673" t="s">
        <v>3534</v>
      </c>
      <c r="NO15" s="623">
        <v>13</v>
      </c>
      <c r="NP15" s="696" t="s">
        <v>3618</v>
      </c>
      <c r="NQ15" s="586">
        <v>284.45999999999998</v>
      </c>
      <c r="NR15" s="150" t="s">
        <v>1612</v>
      </c>
      <c r="NS15" s="46">
        <f>13.57</f>
        <v>13.57</v>
      </c>
      <c r="NT15" s="700" t="s">
        <v>3534</v>
      </c>
      <c r="NU15" s="623">
        <v>13</v>
      </c>
      <c r="NV15" s="606">
        <v>45570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3564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52" t="s">
        <v>1548</v>
      </c>
      <c r="NE16" s="252"/>
      <c r="NF16" s="600" t="s">
        <v>3537</v>
      </c>
      <c r="NG16" s="46">
        <v>10</v>
      </c>
      <c r="NH16" s="642" t="s">
        <v>3479</v>
      </c>
      <c r="NI16" s="97">
        <v>-1486</v>
      </c>
      <c r="NJ16" s="47" t="s">
        <v>3585</v>
      </c>
      <c r="NK16" s="46">
        <v>11.23</v>
      </c>
      <c r="NL16" s="600" t="s">
        <v>3578</v>
      </c>
      <c r="NM16" s="46">
        <v>20</v>
      </c>
      <c r="NN16" s="674" t="s">
        <v>1670</v>
      </c>
      <c r="NO16" s="247"/>
      <c r="NP16" s="642" t="s">
        <v>3603</v>
      </c>
      <c r="NQ16" s="252">
        <f>212.33+76.44+42.47</f>
        <v>331.24</v>
      </c>
      <c r="NR16" s="150" t="s">
        <v>1675</v>
      </c>
      <c r="NS16" s="46">
        <f>2.13+15.29+17.7</f>
        <v>35.119999999999997</v>
      </c>
      <c r="NT16" s="697" t="s">
        <v>1670</v>
      </c>
      <c r="NU16" s="247"/>
      <c r="NV16" s="334"/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3562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647" t="s">
        <v>3511</v>
      </c>
      <c r="NE17" s="252">
        <f>206.48+74.33+41.3</f>
        <v>322.11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85" t="s">
        <v>3558</v>
      </c>
      <c r="NK17" s="676">
        <v>293.58999999999997</v>
      </c>
      <c r="NL17" s="600" t="s">
        <v>3566</v>
      </c>
      <c r="NM17" s="46">
        <f>22.6+15.7+21.7+30.5+30.8</f>
        <v>121.3</v>
      </c>
      <c r="NN17" s="642" t="s">
        <v>3479</v>
      </c>
      <c r="NO17" s="97">
        <v>-952</v>
      </c>
      <c r="NP17" s="47" t="s">
        <v>1677</v>
      </c>
      <c r="NR17" s="600" t="s">
        <v>3605</v>
      </c>
      <c r="NS17" s="46">
        <f>10+10+10</f>
        <v>30</v>
      </c>
      <c r="NT17" s="642" t="s">
        <v>3479</v>
      </c>
      <c r="NU17" s="97">
        <v>-1386</v>
      </c>
      <c r="NV17" s="334">
        <v>45612</v>
      </c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63" t="s">
        <v>1863</v>
      </c>
      <c r="DJ18" s="764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47" t="s">
        <v>1677</v>
      </c>
      <c r="NE18" s="46">
        <f>32.87+0.59</f>
        <v>33.46</v>
      </c>
      <c r="NF18" s="600" t="s">
        <v>3553</v>
      </c>
      <c r="NG18" s="46">
        <v>2270</v>
      </c>
      <c r="NH18" s="649" t="s">
        <v>3525</v>
      </c>
      <c r="NI18" s="656">
        <f>NH19-0.99*195000</f>
        <v>-2206</v>
      </c>
      <c r="NJ18" s="679" t="s">
        <v>3625</v>
      </c>
      <c r="NL18" s="600" t="s">
        <v>3568</v>
      </c>
      <c r="NM18" s="46">
        <v>33.4</v>
      </c>
      <c r="NN18" s="641">
        <v>23.73</v>
      </c>
      <c r="NO18" s="639"/>
      <c r="NP18" s="47" t="s">
        <v>3623</v>
      </c>
      <c r="NQ18" s="46">
        <v>741.19</v>
      </c>
      <c r="NR18" s="600" t="s">
        <v>3607</v>
      </c>
      <c r="NS18" s="46">
        <v>30.5</v>
      </c>
      <c r="NT18" s="641"/>
      <c r="NU18" s="639"/>
      <c r="NV18" s="334"/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54" t="s">
        <v>3565</v>
      </c>
      <c r="NE19" s="654"/>
      <c r="NF19" s="600" t="s">
        <v>2071</v>
      </c>
      <c r="NG19" s="46">
        <v>115</v>
      </c>
      <c r="NH19" s="286">
        <v>190844</v>
      </c>
      <c r="NI19" s="43" t="s">
        <v>2038</v>
      </c>
      <c r="NJ19" s="679" t="s">
        <v>3550</v>
      </c>
      <c r="NK19" s="122">
        <f>1820</f>
        <v>1820</v>
      </c>
      <c r="NL19" s="600" t="s">
        <v>3583</v>
      </c>
      <c r="NM19" s="46">
        <v>29.9</v>
      </c>
      <c r="NN19" s="607" t="s">
        <v>2836</v>
      </c>
      <c r="NO19" s="639">
        <v>0</v>
      </c>
      <c r="NP19" s="599" t="s">
        <v>3478</v>
      </c>
      <c r="NR19" s="600" t="s">
        <v>3568</v>
      </c>
      <c r="NS19" s="46">
        <v>31.1</v>
      </c>
      <c r="NT19" s="698" t="s">
        <v>1787</v>
      </c>
      <c r="NU19" s="583">
        <v>30</v>
      </c>
      <c r="NV19" s="606">
        <v>45613</v>
      </c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683"/>
      <c r="NE20" s="683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681" t="s">
        <v>3560</v>
      </c>
      <c r="NK20" s="122">
        <f>1830*4</f>
        <v>7320</v>
      </c>
      <c r="NL20" s="600" t="s">
        <v>3567</v>
      </c>
      <c r="NM20" s="609">
        <v>36.9</v>
      </c>
      <c r="NN20" s="675" t="s">
        <v>1787</v>
      </c>
      <c r="NO20" s="583">
        <v>30</v>
      </c>
      <c r="NP20" s="640" t="s">
        <v>3477</v>
      </c>
      <c r="NQ20" s="46">
        <v>11.83</v>
      </c>
      <c r="NR20" s="600" t="s">
        <v>3447</v>
      </c>
      <c r="NS20" s="46">
        <f>26.26+40.53</f>
        <v>66.790000000000006</v>
      </c>
      <c r="NT20" s="696" t="s">
        <v>1845</v>
      </c>
      <c r="NU20" s="656">
        <f>NT21-0.99*195000</f>
        <v>-3735</v>
      </c>
      <c r="NV20" s="334"/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66" t="s">
        <v>330</v>
      </c>
      <c r="N21" s="766"/>
      <c r="Q21" s="61" t="s">
        <v>355</v>
      </c>
      <c r="S21" s="766" t="s">
        <v>330</v>
      </c>
      <c r="T21" s="766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80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79" t="s">
        <v>3570</v>
      </c>
      <c r="NE21" s="779"/>
      <c r="NF21" s="600" t="s">
        <v>3524</v>
      </c>
      <c r="NG21" s="46">
        <v>16.7</v>
      </c>
      <c r="NH21" s="653" t="s">
        <v>3522</v>
      </c>
      <c r="NI21" s="48">
        <v>608</v>
      </c>
      <c r="NJ21" s="691" t="s">
        <v>3584</v>
      </c>
      <c r="NK21" s="46">
        <f>1840*2</f>
        <v>3680</v>
      </c>
      <c r="NL21" s="600" t="s">
        <v>3572</v>
      </c>
      <c r="NM21" s="46">
        <v>37.89</v>
      </c>
      <c r="NN21" s="671" t="s">
        <v>3525</v>
      </c>
      <c r="NO21" s="656">
        <f>NN22-0.99*195000</f>
        <v>-333</v>
      </c>
      <c r="NP21" s="701" t="s">
        <v>1605</v>
      </c>
      <c r="NQ21" s="701"/>
      <c r="NR21" s="600" t="s">
        <v>3608</v>
      </c>
      <c r="NS21" s="609">
        <v>34.700000000000003</v>
      </c>
      <c r="NT21" s="286">
        <v>189315</v>
      </c>
      <c r="NU21" s="43" t="s">
        <v>2038</v>
      </c>
      <c r="NV21" s="334">
        <v>45612</v>
      </c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8" t="s">
        <v>2091</v>
      </c>
      <c r="N22" s="768"/>
      <c r="Q22" s="61" t="s">
        <v>364</v>
      </c>
      <c r="S22" s="768" t="s">
        <v>2091</v>
      </c>
      <c r="T22" s="768"/>
      <c r="W22" s="69" t="s">
        <v>1736</v>
      </c>
      <c r="X22" s="14">
        <v>0</v>
      </c>
      <c r="Y22" s="766" t="s">
        <v>330</v>
      </c>
      <c r="Z22" s="766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80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9" t="s">
        <v>2117</v>
      </c>
      <c r="IU22" s="759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779"/>
      <c r="NE22" s="779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327"/>
      <c r="NK22" s="326"/>
      <c r="NL22" s="600" t="s">
        <v>3580</v>
      </c>
      <c r="NM22" s="60">
        <v>43.7</v>
      </c>
      <c r="NN22" s="286">
        <v>192717</v>
      </c>
      <c r="NO22" s="43" t="s">
        <v>2038</v>
      </c>
      <c r="NP22" s="701"/>
      <c r="NQ22" s="701"/>
      <c r="NR22" s="600" t="s">
        <v>3609</v>
      </c>
      <c r="NS22" s="46">
        <v>6.57</v>
      </c>
      <c r="NT22" s="696" t="s">
        <v>2087</v>
      </c>
      <c r="NU22" s="623">
        <v>0</v>
      </c>
      <c r="NV22" s="334">
        <v>45612</v>
      </c>
      <c r="NW22" s="286"/>
    </row>
    <row r="23" spans="1:387">
      <c r="A23" s="766" t="s">
        <v>330</v>
      </c>
      <c r="B23" s="766"/>
      <c r="E23" s="563" t="s">
        <v>402</v>
      </c>
      <c r="F23" s="61"/>
      <c r="G23" s="766" t="s">
        <v>330</v>
      </c>
      <c r="H23" s="766"/>
      <c r="K23" s="69" t="s">
        <v>1736</v>
      </c>
      <c r="L23" s="14">
        <v>0</v>
      </c>
      <c r="M23" s="767"/>
      <c r="N23" s="767"/>
      <c r="Q23" s="61" t="s">
        <v>1916</v>
      </c>
      <c r="S23" s="767"/>
      <c r="T23" s="767"/>
      <c r="W23" s="69" t="s">
        <v>1518</v>
      </c>
      <c r="X23" s="64">
        <v>0</v>
      </c>
      <c r="Y23" s="768" t="s">
        <v>2091</v>
      </c>
      <c r="Z23" s="768"/>
      <c r="AE23" s="766" t="s">
        <v>330</v>
      </c>
      <c r="AF23" s="766"/>
      <c r="AK23" s="766" t="s">
        <v>330</v>
      </c>
      <c r="AL23" s="766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69" t="s">
        <v>2149</v>
      </c>
      <c r="EF23" s="769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80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80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9" t="s">
        <v>2117</v>
      </c>
      <c r="HK23" s="759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9" t="s">
        <v>2117</v>
      </c>
      <c r="HW23" s="759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684"/>
      <c r="NE23" s="684"/>
      <c r="NF23" s="600" t="s">
        <v>3543</v>
      </c>
      <c r="NG23" s="60">
        <f>35.7+7.7</f>
        <v>43.400000000000006</v>
      </c>
      <c r="NH23" s="653" t="s">
        <v>3404</v>
      </c>
      <c r="NI23" s="48">
        <v>10</v>
      </c>
      <c r="NJ23" s="668" t="s">
        <v>2221</v>
      </c>
      <c r="NK23" s="310"/>
      <c r="NL23" s="638" t="s">
        <v>3551</v>
      </c>
      <c r="NM23" s="46"/>
      <c r="NN23" s="671" t="s">
        <v>2087</v>
      </c>
      <c r="NO23" s="623">
        <v>2600</v>
      </c>
      <c r="NP23" s="701"/>
      <c r="NQ23" s="701"/>
      <c r="NR23" s="600" t="s">
        <v>3626</v>
      </c>
      <c r="NS23" s="60">
        <v>39.299999999999997</v>
      </c>
      <c r="NT23" s="700" t="s">
        <v>3522</v>
      </c>
      <c r="NU23" s="48">
        <v>961</v>
      </c>
      <c r="NV23" s="334">
        <v>45612</v>
      </c>
      <c r="NW23" s="48"/>
    </row>
    <row r="24" spans="1:387">
      <c r="A24" s="768" t="s">
        <v>2091</v>
      </c>
      <c r="B24" s="768"/>
      <c r="E24" s="563" t="s">
        <v>271</v>
      </c>
      <c r="F24" s="61"/>
      <c r="G24" s="768" t="s">
        <v>2091</v>
      </c>
      <c r="H24" s="768"/>
      <c r="K24" s="69" t="s">
        <v>1518</v>
      </c>
      <c r="L24" s="64">
        <v>0</v>
      </c>
      <c r="M24" s="767"/>
      <c r="N24" s="767"/>
      <c r="Q24" s="69" t="s">
        <v>1617</v>
      </c>
      <c r="R24" s="14">
        <v>0</v>
      </c>
      <c r="S24" s="767"/>
      <c r="T24" s="767"/>
      <c r="W24" s="69" t="s">
        <v>2183</v>
      </c>
      <c r="X24" s="14">
        <v>910.17</v>
      </c>
      <c r="Y24" s="767"/>
      <c r="Z24" s="767"/>
      <c r="AC24" s="76" t="s">
        <v>2184</v>
      </c>
      <c r="AD24" s="14">
        <v>90</v>
      </c>
      <c r="AE24" s="768" t="s">
        <v>2091</v>
      </c>
      <c r="AF24" s="768"/>
      <c r="AI24" s="75" t="s">
        <v>2185</v>
      </c>
      <c r="AJ24" s="14">
        <v>30</v>
      </c>
      <c r="AK24" s="768" t="s">
        <v>2091</v>
      </c>
      <c r="AL24" s="768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8"/>
      <c r="BH24" s="768"/>
      <c r="BK24" s="92" t="s">
        <v>2187</v>
      </c>
      <c r="BL24" s="64">
        <v>48.54</v>
      </c>
      <c r="BM24" s="768"/>
      <c r="BN24" s="768"/>
      <c r="BQ24" s="92" t="s">
        <v>1918</v>
      </c>
      <c r="BR24" s="64">
        <v>50.15</v>
      </c>
      <c r="BS24" s="768" t="s">
        <v>2188</v>
      </c>
      <c r="BT24" s="768"/>
      <c r="BW24" s="92" t="s">
        <v>1918</v>
      </c>
      <c r="BX24" s="64">
        <v>48.54</v>
      </c>
      <c r="BY24" s="768"/>
      <c r="BZ24" s="768"/>
      <c r="CC24" s="92" t="s">
        <v>1918</v>
      </c>
      <c r="CD24" s="64">
        <v>142.91</v>
      </c>
      <c r="CE24" s="768"/>
      <c r="CF24" s="768"/>
      <c r="CI24" s="92" t="s">
        <v>2189</v>
      </c>
      <c r="CJ24" s="64">
        <v>35.049999999999997</v>
      </c>
      <c r="CK24" s="767"/>
      <c r="CL24" s="767"/>
      <c r="CO24" s="92" t="s">
        <v>1866</v>
      </c>
      <c r="CP24" s="64">
        <v>153.41</v>
      </c>
      <c r="CQ24" s="767" t="s">
        <v>2190</v>
      </c>
      <c r="CR24" s="767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80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327"/>
      <c r="NE24" s="326"/>
      <c r="NF24" s="600" t="s">
        <v>3544</v>
      </c>
      <c r="NG24" s="60">
        <v>72.66</v>
      </c>
      <c r="NH24" s="647" t="s">
        <v>2176</v>
      </c>
      <c r="NI24" s="48">
        <v>120</v>
      </c>
      <c r="NJ24" s="328" t="s">
        <v>1200</v>
      </c>
      <c r="NK24" s="60">
        <f>SUM(NM6:NM6)</f>
        <v>1900.1</v>
      </c>
      <c r="NL24" s="638" t="s">
        <v>3588</v>
      </c>
      <c r="NM24" s="46">
        <v>110</v>
      </c>
      <c r="NN24" s="673" t="s">
        <v>3522</v>
      </c>
      <c r="NO24" s="48">
        <v>634</v>
      </c>
      <c r="NP24" s="327"/>
      <c r="NQ24" s="326"/>
      <c r="NR24" s="600" t="s">
        <v>1877</v>
      </c>
      <c r="NS24" s="60"/>
      <c r="NT24" s="700" t="s">
        <v>3426</v>
      </c>
      <c r="NU24" s="48">
        <v>1045</v>
      </c>
      <c r="NV24" s="334">
        <v>45612</v>
      </c>
      <c r="NW24" s="48"/>
    </row>
    <row r="25" spans="1:387">
      <c r="A25" s="767"/>
      <c r="B25" s="767"/>
      <c r="E25" s="562" t="s">
        <v>386</v>
      </c>
      <c r="F25" s="56"/>
      <c r="G25" s="767"/>
      <c r="H25" s="767"/>
      <c r="K25" s="69" t="s">
        <v>2239</v>
      </c>
      <c r="L25" s="14">
        <f>910+40</f>
        <v>950</v>
      </c>
      <c r="M25" s="767"/>
      <c r="N25" s="767"/>
      <c r="Q25" s="69" t="s">
        <v>1680</v>
      </c>
      <c r="R25" s="14">
        <v>0</v>
      </c>
      <c r="S25" s="767"/>
      <c r="T25" s="767"/>
      <c r="W25" s="70" t="s">
        <v>2240</v>
      </c>
      <c r="X25" s="14">
        <v>110.58</v>
      </c>
      <c r="Y25" s="767"/>
      <c r="Z25" s="767"/>
      <c r="AE25" s="767"/>
      <c r="AF25" s="767"/>
      <c r="AK25" s="767"/>
      <c r="AL25" s="767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7"/>
      <c r="AX25" s="767"/>
      <c r="AY25" s="70"/>
      <c r="AZ25" s="64"/>
      <c r="BA25" s="767"/>
      <c r="BB25" s="767"/>
      <c r="BE25" s="70" t="s">
        <v>1547</v>
      </c>
      <c r="BF25" s="64">
        <f>6.5*2</f>
        <v>13</v>
      </c>
      <c r="BG25" s="767"/>
      <c r="BH25" s="767"/>
      <c r="BK25" s="92" t="s">
        <v>1547</v>
      </c>
      <c r="BL25" s="64">
        <f>6.5*2</f>
        <v>13</v>
      </c>
      <c r="BM25" s="767"/>
      <c r="BN25" s="767"/>
      <c r="BQ25" s="92" t="s">
        <v>1547</v>
      </c>
      <c r="BR25" s="64">
        <v>13</v>
      </c>
      <c r="BS25" s="767"/>
      <c r="BT25" s="767"/>
      <c r="BW25" s="92" t="s">
        <v>1547</v>
      </c>
      <c r="BX25" s="64">
        <v>13</v>
      </c>
      <c r="BY25" s="767"/>
      <c r="BZ25" s="767"/>
      <c r="CC25" s="92" t="s">
        <v>1547</v>
      </c>
      <c r="CD25" s="64">
        <v>13</v>
      </c>
      <c r="CE25" s="767"/>
      <c r="CF25" s="767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70" t="s">
        <v>2149</v>
      </c>
      <c r="DZ25" s="771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69" t="s">
        <v>2149</v>
      </c>
      <c r="ES25" s="769"/>
      <c r="ET25" s="52" t="s">
        <v>1810</v>
      </c>
      <c r="EU25" s="97">
        <v>20000</v>
      </c>
      <c r="EW25" s="780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9" t="s">
        <v>2117</v>
      </c>
      <c r="IC25" s="759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648" t="s">
        <v>2221</v>
      </c>
      <c r="NE25" s="310"/>
      <c r="NF25" s="600" t="s">
        <v>3546</v>
      </c>
      <c r="NG25" s="60">
        <v>31.55</v>
      </c>
      <c r="NH25" s="647" t="s">
        <v>3471</v>
      </c>
      <c r="NI25" s="48">
        <v>1000</v>
      </c>
      <c r="NJ25" s="158" t="s">
        <v>2587</v>
      </c>
      <c r="NK25" s="60">
        <f>SUM(NM7:NM7)</f>
        <v>53.62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695" t="s">
        <v>2221</v>
      </c>
      <c r="NQ25" s="310"/>
      <c r="NR25" s="600" t="s">
        <v>1877</v>
      </c>
      <c r="NS25" s="60"/>
      <c r="NT25" s="700" t="s">
        <v>3404</v>
      </c>
      <c r="NU25" s="48">
        <v>10</v>
      </c>
      <c r="NV25" s="334">
        <v>45610</v>
      </c>
      <c r="NW25" s="48"/>
    </row>
    <row r="26" spans="1:387">
      <c r="A26" s="767"/>
      <c r="B26" s="767"/>
      <c r="F26" s="65"/>
      <c r="G26" s="767"/>
      <c r="H26" s="767"/>
      <c r="M26" s="772" t="s">
        <v>372</v>
      </c>
      <c r="N26" s="767"/>
      <c r="Q26" s="69" t="s">
        <v>1736</v>
      </c>
      <c r="R26" s="14">
        <v>0</v>
      </c>
      <c r="S26" s="772" t="s">
        <v>372</v>
      </c>
      <c r="T26" s="767"/>
      <c r="W26" s="70" t="s">
        <v>1918</v>
      </c>
      <c r="X26" s="14">
        <v>60.75</v>
      </c>
      <c r="Y26" s="767"/>
      <c r="Z26" s="767"/>
      <c r="AC26" s="21" t="s">
        <v>2284</v>
      </c>
      <c r="AD26" s="21"/>
      <c r="AE26" s="772" t="s">
        <v>372</v>
      </c>
      <c r="AF26" s="767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69" t="s">
        <v>2149</v>
      </c>
      <c r="EY26" s="769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9" t="s">
        <v>2117</v>
      </c>
      <c r="HQ26" s="759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328" t="s">
        <v>1200</v>
      </c>
      <c r="NE26" s="687">
        <f>SUM(NG6:NG6)</f>
        <v>5000</v>
      </c>
      <c r="NF26" s="600" t="s">
        <v>3547</v>
      </c>
      <c r="NG26" s="60">
        <v>117</v>
      </c>
      <c r="NH26" s="651" t="s">
        <v>2070</v>
      </c>
      <c r="NI26" s="48">
        <v>2000</v>
      </c>
      <c r="NJ26" s="47" t="s">
        <v>2630</v>
      </c>
      <c r="NK26" s="46">
        <f>SUM(NM8:NM8)</f>
        <v>17.05</v>
      </c>
      <c r="NL26" s="638" t="s">
        <v>3043</v>
      </c>
      <c r="NM26" s="46">
        <v>29.9</v>
      </c>
      <c r="NN26" s="673" t="s">
        <v>3404</v>
      </c>
      <c r="NO26" s="48">
        <v>10</v>
      </c>
      <c r="NP26" s="328" t="s">
        <v>1200</v>
      </c>
      <c r="NQ26" s="60">
        <f>SUM(NS6:NS6)</f>
        <v>1900.11</v>
      </c>
      <c r="NR26" s="600" t="s">
        <v>1877</v>
      </c>
      <c r="NS26" s="60"/>
      <c r="NT26" s="694" t="s">
        <v>2176</v>
      </c>
      <c r="NU26" s="48">
        <v>150</v>
      </c>
      <c r="NV26" s="334">
        <v>45612</v>
      </c>
    </row>
    <row r="27" spans="1:387" ht="12.75" customHeight="1">
      <c r="A27" s="767"/>
      <c r="B27" s="767"/>
      <c r="E27" s="565" t="s">
        <v>418</v>
      </c>
      <c r="F27" s="65"/>
      <c r="G27" s="767"/>
      <c r="H27" s="767"/>
      <c r="K27" s="70" t="s">
        <v>2332</v>
      </c>
      <c r="L27" s="14">
        <f>60</f>
        <v>60</v>
      </c>
      <c r="M27" s="772" t="s">
        <v>2333</v>
      </c>
      <c r="N27" s="767"/>
      <c r="Q27" s="69" t="s">
        <v>2334</v>
      </c>
      <c r="R27" s="64">
        <v>200</v>
      </c>
      <c r="S27" s="772" t="s">
        <v>2333</v>
      </c>
      <c r="T27" s="767"/>
      <c r="W27" s="70" t="s">
        <v>1986</v>
      </c>
      <c r="X27" s="14">
        <v>61.35</v>
      </c>
      <c r="Y27" s="772" t="s">
        <v>372</v>
      </c>
      <c r="Z27" s="767"/>
      <c r="AC27" s="21" t="s">
        <v>2335</v>
      </c>
      <c r="AD27" s="21">
        <f>53+207+63</f>
        <v>323</v>
      </c>
      <c r="AE27" s="772" t="s">
        <v>2333</v>
      </c>
      <c r="AF27" s="767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69" t="s">
        <v>2355</v>
      </c>
      <c r="FE27" s="769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8" t="s">
        <v>2587</v>
      </c>
      <c r="NE27" s="687">
        <f>SUM(NG7:NG8)</f>
        <v>38989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150" t="s">
        <v>2678</v>
      </c>
      <c r="NK27" s="46">
        <f>SUM(NM9:NM15)</f>
        <v>571.79999999999995</v>
      </c>
      <c r="NL27" s="638" t="s">
        <v>3573</v>
      </c>
      <c r="NM27" s="46">
        <v>208.08</v>
      </c>
      <c r="NN27" s="672" t="s">
        <v>2176</v>
      </c>
      <c r="NO27" s="48">
        <v>170</v>
      </c>
      <c r="NP27" s="158" t="s">
        <v>2587</v>
      </c>
      <c r="NQ27" s="60">
        <f>SUM(NS7:NS7)</f>
        <v>0</v>
      </c>
      <c r="NR27" s="638" t="s">
        <v>3595</v>
      </c>
      <c r="NS27" s="46">
        <v>500</v>
      </c>
      <c r="NT27" s="698" t="s">
        <v>2070</v>
      </c>
      <c r="NU27" s="48">
        <v>2000</v>
      </c>
      <c r="NV27" s="334"/>
      <c r="NW27" s="48"/>
    </row>
    <row r="28" spans="1:387">
      <c r="A28" s="772" t="s">
        <v>372</v>
      </c>
      <c r="B28" s="767"/>
      <c r="E28" s="565" t="s">
        <v>427</v>
      </c>
      <c r="F28" s="65"/>
      <c r="G28" s="772" t="s">
        <v>372</v>
      </c>
      <c r="H28" s="767"/>
      <c r="K28" s="70" t="s">
        <v>1986</v>
      </c>
      <c r="L28" s="14">
        <v>0</v>
      </c>
      <c r="M28" s="773" t="s">
        <v>197</v>
      </c>
      <c r="N28" s="773"/>
      <c r="Q28" s="69" t="s">
        <v>2183</v>
      </c>
      <c r="R28" s="14">
        <v>0</v>
      </c>
      <c r="S28" s="773" t="s">
        <v>197</v>
      </c>
      <c r="T28" s="773"/>
      <c r="W28" s="70" t="s">
        <v>2041</v>
      </c>
      <c r="X28" s="14">
        <v>64</v>
      </c>
      <c r="Y28" s="772" t="s">
        <v>2333</v>
      </c>
      <c r="Z28" s="767"/>
      <c r="AC28" s="21" t="s">
        <v>2393</v>
      </c>
      <c r="AD28" s="21">
        <f>63+46</f>
        <v>109</v>
      </c>
      <c r="AE28" s="773" t="s">
        <v>197</v>
      </c>
      <c r="AF28" s="773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69" t="s">
        <v>2149</v>
      </c>
      <c r="EM28" s="769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9" t="s">
        <v>2117</v>
      </c>
      <c r="JA28" s="759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150" t="s">
        <v>2678</v>
      </c>
      <c r="NE28" s="623">
        <f>SUM(NG9:NG15)</f>
        <v>587.74</v>
      </c>
      <c r="NF28" s="638" t="s">
        <v>2692</v>
      </c>
      <c r="NG28" s="46">
        <v>44.9</v>
      </c>
      <c r="NH28" s="211"/>
      <c r="NI28" s="48" t="s">
        <v>2442</v>
      </c>
      <c r="NJ28" s="638" t="s">
        <v>3476</v>
      </c>
      <c r="NK28" s="46">
        <f>SUM(NM23:NM28)</f>
        <v>1083.98</v>
      </c>
      <c r="NL28" s="638" t="s">
        <v>3579</v>
      </c>
      <c r="NM28" s="46">
        <v>58.8</v>
      </c>
      <c r="NN28" s="675" t="s">
        <v>2070</v>
      </c>
      <c r="NO28" s="48">
        <v>2000</v>
      </c>
      <c r="NP28" s="47" t="s">
        <v>2630</v>
      </c>
      <c r="NQ28" s="46">
        <f>SUM(NS8:NS8)</f>
        <v>293.85000000000002</v>
      </c>
      <c r="NR28" s="638" t="s">
        <v>3610</v>
      </c>
      <c r="NS28" s="46">
        <v>65.900000000000006</v>
      </c>
      <c r="NT28" s="336">
        <v>3619</v>
      </c>
      <c r="NU28" s="283" t="s">
        <v>3440</v>
      </c>
      <c r="NV28" s="334">
        <v>45612</v>
      </c>
    </row>
    <row r="29" spans="1:387">
      <c r="A29" s="772" t="s">
        <v>2333</v>
      </c>
      <c r="B29" s="767"/>
      <c r="E29" s="565" t="s">
        <v>431</v>
      </c>
      <c r="F29" s="65"/>
      <c r="G29" s="772" t="s">
        <v>2333</v>
      </c>
      <c r="H29" s="767"/>
      <c r="K29" s="70" t="s">
        <v>2041</v>
      </c>
      <c r="L29" s="14">
        <v>64</v>
      </c>
      <c r="M29" s="767" t="s">
        <v>300</v>
      </c>
      <c r="N29" s="767"/>
      <c r="S29" s="767" t="s">
        <v>300</v>
      </c>
      <c r="T29" s="767"/>
      <c r="W29" s="70" t="s">
        <v>2092</v>
      </c>
      <c r="X29" s="14">
        <v>100.01</v>
      </c>
      <c r="Y29" s="773" t="s">
        <v>197</v>
      </c>
      <c r="Z29" s="773"/>
      <c r="AC29" s="14" t="s">
        <v>2445</v>
      </c>
      <c r="AD29" s="14">
        <v>65</v>
      </c>
      <c r="AE29" s="767" t="s">
        <v>300</v>
      </c>
      <c r="AF29" s="767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69" t="s">
        <v>2355</v>
      </c>
      <c r="FK29" s="769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638" t="s">
        <v>3476</v>
      </c>
      <c r="NE29" s="623">
        <f>SUM(NG27:NG28)</f>
        <v>2239.2199999999998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324" t="s">
        <v>2428</v>
      </c>
      <c r="NK29" s="586">
        <f>SUM(NM16:NM22)</f>
        <v>323.09000000000003</v>
      </c>
      <c r="NL29" s="640" t="s">
        <v>2382</v>
      </c>
      <c r="NM29" s="49">
        <f>23+75+167+108+248+151</f>
        <v>772</v>
      </c>
      <c r="NN29" s="336">
        <v>4257</v>
      </c>
      <c r="NO29" s="283" t="s">
        <v>3440</v>
      </c>
      <c r="NP29" s="150" t="s">
        <v>2678</v>
      </c>
      <c r="NQ29" s="46">
        <f>SUM(NS9:NS16)</f>
        <v>149.04</v>
      </c>
      <c r="NR29" s="638" t="s">
        <v>3622</v>
      </c>
      <c r="NS29" s="46">
        <v>120.07</v>
      </c>
      <c r="NT29" s="211"/>
      <c r="NU29" s="48" t="s">
        <v>2442</v>
      </c>
    </row>
    <row r="30" spans="1:387">
      <c r="A30" s="773" t="s">
        <v>197</v>
      </c>
      <c r="B30" s="773"/>
      <c r="E30" s="565" t="s">
        <v>2488</v>
      </c>
      <c r="F30" s="56"/>
      <c r="G30" s="773" t="s">
        <v>197</v>
      </c>
      <c r="H30" s="773"/>
      <c r="K30" s="70" t="s">
        <v>2092</v>
      </c>
      <c r="L30" s="14">
        <v>50.01</v>
      </c>
      <c r="M30" s="775" t="s">
        <v>2489</v>
      </c>
      <c r="N30" s="775"/>
      <c r="Q30" s="70" t="s">
        <v>1854</v>
      </c>
      <c r="R30" s="14">
        <v>26</v>
      </c>
      <c r="S30" s="775" t="s">
        <v>2489</v>
      </c>
      <c r="T30" s="775"/>
      <c r="Y30" s="767" t="s">
        <v>300</v>
      </c>
      <c r="Z30" s="767"/>
      <c r="AC30" s="14" t="s">
        <v>2490</v>
      </c>
      <c r="AD30" s="14">
        <v>10</v>
      </c>
      <c r="AE30" s="775" t="s">
        <v>2489</v>
      </c>
      <c r="AF30" s="775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2428</v>
      </c>
      <c r="NE30" s="618">
        <f>SUM(NG16:NG26)</f>
        <v>2863.11</v>
      </c>
      <c r="NF30" s="329">
        <v>35.29</v>
      </c>
      <c r="NG30" s="49"/>
      <c r="NH30" s="652" t="s">
        <v>3556</v>
      </c>
      <c r="NI30" s="671">
        <v>2.81</v>
      </c>
      <c r="NJ30" s="324" t="s">
        <v>2575</v>
      </c>
      <c r="NK30" s="313">
        <f>SUM(NM17:NM22)</f>
        <v>303.08999999999997</v>
      </c>
      <c r="NL30" s="329">
        <f>NQ35</f>
        <v>0</v>
      </c>
      <c r="NM30" s="49"/>
      <c r="NN30" s="211">
        <v>0</v>
      </c>
      <c r="NO30" s="48" t="s">
        <v>2442</v>
      </c>
      <c r="NP30" s="638" t="s">
        <v>3476</v>
      </c>
      <c r="NQ30" s="46">
        <f>SUM(NS27:NS31)</f>
        <v>739.25</v>
      </c>
      <c r="NR30" s="638" t="s">
        <v>3617</v>
      </c>
      <c r="NS30" s="46">
        <v>53.28</v>
      </c>
      <c r="NT30" s="697" t="s">
        <v>2218</v>
      </c>
      <c r="NU30" s="46"/>
    </row>
    <row r="31" spans="1:387" ht="12.75" customHeight="1">
      <c r="A31" s="767" t="s">
        <v>300</v>
      </c>
      <c r="B31" s="767"/>
      <c r="E31" s="56"/>
      <c r="F31" s="56"/>
      <c r="G31" s="767" t="s">
        <v>300</v>
      </c>
      <c r="H31" s="767"/>
      <c r="M31" s="768" t="s">
        <v>363</v>
      </c>
      <c r="N31" s="768"/>
      <c r="Q31" s="70" t="s">
        <v>1918</v>
      </c>
      <c r="R31" s="14">
        <v>55</v>
      </c>
      <c r="S31" s="768" t="s">
        <v>363</v>
      </c>
      <c r="T31" s="768"/>
      <c r="W31" s="71" t="s">
        <v>2539</v>
      </c>
      <c r="X31" s="71">
        <v>0</v>
      </c>
      <c r="Y31" s="775" t="s">
        <v>2489</v>
      </c>
      <c r="Z31" s="775"/>
      <c r="AE31" s="768" t="s">
        <v>363</v>
      </c>
      <c r="AF31" s="768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74" t="s">
        <v>2548</v>
      </c>
      <c r="DP31" s="774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D31" s="324" t="s">
        <v>2575</v>
      </c>
      <c r="NE31" s="688">
        <f>SUM(NG20:NG26)</f>
        <v>444.11</v>
      </c>
      <c r="NF31" s="175" t="s">
        <v>2477</v>
      </c>
      <c r="NG31" s="22">
        <f>NC27+NE33-NI24</f>
        <v>150</v>
      </c>
      <c r="NH31" s="650" t="s">
        <v>2686</v>
      </c>
      <c r="NJ31" s="155" t="s">
        <v>3536</v>
      </c>
      <c r="NK31" s="201">
        <f>-10+100</f>
        <v>90</v>
      </c>
      <c r="NL31" s="175" t="s">
        <v>2477</v>
      </c>
      <c r="NM31" s="22">
        <f>NI24+NK31-NO27</f>
        <v>40</v>
      </c>
      <c r="NN31" s="674" t="s">
        <v>2218</v>
      </c>
      <c r="NO31" s="46"/>
      <c r="NP31" s="324" t="s">
        <v>2428</v>
      </c>
      <c r="NQ31" s="586">
        <f>SUM(NS17:NS26)</f>
        <v>238.95999999999998</v>
      </c>
      <c r="NR31" s="638" t="s">
        <v>3594</v>
      </c>
      <c r="NS31" s="46"/>
      <c r="NT31" s="608" t="s">
        <v>3451</v>
      </c>
      <c r="NU31" s="703">
        <v>1000</v>
      </c>
    </row>
    <row r="32" spans="1:387">
      <c r="A32" s="775" t="s">
        <v>2489</v>
      </c>
      <c r="B32" s="775"/>
      <c r="C32" s="67"/>
      <c r="D32" s="67"/>
      <c r="E32" s="67"/>
      <c r="F32" s="67"/>
      <c r="G32" s="775" t="s">
        <v>2489</v>
      </c>
      <c r="H32" s="775"/>
      <c r="K32" s="71" t="s">
        <v>2588</v>
      </c>
      <c r="L32" s="71"/>
      <c r="M32" s="776" t="s">
        <v>2573</v>
      </c>
      <c r="N32" s="776"/>
      <c r="Q32" s="70" t="s">
        <v>1986</v>
      </c>
      <c r="R32" s="14">
        <v>77.239999999999995</v>
      </c>
      <c r="S32" s="776" t="s">
        <v>2573</v>
      </c>
      <c r="T32" s="776"/>
      <c r="Y32" s="768" t="s">
        <v>363</v>
      </c>
      <c r="Z32" s="768"/>
      <c r="AC32" s="572" t="s">
        <v>1395</v>
      </c>
      <c r="AD32" s="14">
        <v>350</v>
      </c>
      <c r="AE32" s="776" t="s">
        <v>2573</v>
      </c>
      <c r="AF32" s="776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7" t="s">
        <v>2477</v>
      </c>
      <c r="DB32" s="778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9" t="s">
        <v>2117</v>
      </c>
      <c r="IO32" s="759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F32" s="201">
        <f>10+20</f>
        <v>30</v>
      </c>
      <c r="NG32" s="645" t="s">
        <v>3521</v>
      </c>
      <c r="NH32" s="650" t="s">
        <v>3533</v>
      </c>
      <c r="NL32" s="201">
        <v>40</v>
      </c>
      <c r="NM32" s="710" t="s">
        <v>554</v>
      </c>
      <c r="NN32" s="680" t="s">
        <v>3576</v>
      </c>
      <c r="NO32" s="46">
        <f>196.2</f>
        <v>196.2</v>
      </c>
      <c r="NP32" s="324" t="s">
        <v>2575</v>
      </c>
      <c r="NQ32" s="313">
        <f>SUM(NS18:NS26)</f>
        <v>208.96000000000004</v>
      </c>
      <c r="NR32" s="640" t="s">
        <v>2382</v>
      </c>
      <c r="NS32" s="49">
        <f>318+54</f>
        <v>372</v>
      </c>
      <c r="NT32" s="712" t="s">
        <v>3615</v>
      </c>
      <c r="NU32" s="711">
        <v>234.35</v>
      </c>
    </row>
    <row r="33" spans="1:387">
      <c r="A33" s="768" t="s">
        <v>363</v>
      </c>
      <c r="B33" s="768"/>
      <c r="E33" s="573" t="s">
        <v>455</v>
      </c>
      <c r="F33" s="56"/>
      <c r="G33" s="768" t="s">
        <v>363</v>
      </c>
      <c r="H33" s="768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76" t="s">
        <v>2573</v>
      </c>
      <c r="Z33" s="776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D33" s="155" t="s">
        <v>3536</v>
      </c>
      <c r="NE33" s="201">
        <v>200</v>
      </c>
      <c r="NF33" s="201">
        <v>20</v>
      </c>
      <c r="NG33" s="241" t="s">
        <v>3268</v>
      </c>
      <c r="NH33" s="652" t="s">
        <v>372</v>
      </c>
      <c r="NK33" s="59"/>
      <c r="NL33" s="675" t="s">
        <v>3569</v>
      </c>
      <c r="NM33" s="60">
        <v>33</v>
      </c>
      <c r="NN33" s="608" t="s">
        <v>3590</v>
      </c>
      <c r="NO33" s="686"/>
      <c r="NR33" s="329">
        <v>21.78</v>
      </c>
      <c r="NS33" s="49"/>
      <c r="NT33" s="699" t="s">
        <v>3620</v>
      </c>
      <c r="NU33" s="699">
        <v>843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F34" s="201">
        <v>40</v>
      </c>
      <c r="NG34" s="241" t="s">
        <v>2418</v>
      </c>
      <c r="NH34" s="652" t="s">
        <v>2877</v>
      </c>
      <c r="NK34" s="59"/>
      <c r="NL34" s="670" t="s">
        <v>3589</v>
      </c>
      <c r="NM34" s="242">
        <v>1.3</v>
      </c>
      <c r="NN34" s="674" t="s">
        <v>2123</v>
      </c>
      <c r="NP34" s="155" t="s">
        <v>3536</v>
      </c>
      <c r="NQ34" s="201"/>
      <c r="NR34" s="175" t="s">
        <v>2477</v>
      </c>
      <c r="NS34" s="22">
        <f>NO27+NQ34-NU26</f>
        <v>20</v>
      </c>
      <c r="NT34" s="697" t="s">
        <v>2123</v>
      </c>
      <c r="NW34" s="699">
        <v>32</v>
      </c>
    </row>
    <row r="35" spans="1:387" ht="14.25" customHeight="1">
      <c r="A35" s="783"/>
      <c r="B35" s="783"/>
      <c r="E35" s="568" t="s">
        <v>493</v>
      </c>
      <c r="F35" s="56">
        <v>250</v>
      </c>
      <c r="G35" s="783"/>
      <c r="H35" s="783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M35" s="671"/>
      <c r="NN35" s="670" t="s">
        <v>3577</v>
      </c>
      <c r="NO35" s="670">
        <v>102.46</v>
      </c>
      <c r="NR35" s="201">
        <v>10</v>
      </c>
      <c r="NS35" s="645" t="s">
        <v>2418</v>
      </c>
      <c r="NT35" s="699" t="s">
        <v>3577</v>
      </c>
      <c r="NU35" s="699">
        <v>102.46</v>
      </c>
      <c r="NW35" s="713">
        <v>22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84" t="s">
        <v>2149</v>
      </c>
      <c r="DT36" s="785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E36" s="59"/>
      <c r="NF36" s="652" t="s">
        <v>3535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T36" s="714" t="s">
        <v>3611</v>
      </c>
      <c r="NU36" s="714">
        <v>105.7</v>
      </c>
      <c r="NW36" s="713"/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H37" s="719" t="s">
        <v>3001</v>
      </c>
      <c r="NN37" s="674" t="s">
        <v>3575</v>
      </c>
      <c r="NQ37" s="59"/>
      <c r="NR37" s="201"/>
      <c r="NS37" s="241"/>
      <c r="NT37" s="698" t="s">
        <v>2276</v>
      </c>
      <c r="NW37" s="713"/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H38" s="719" t="s">
        <v>3026</v>
      </c>
      <c r="NR38" s="201"/>
      <c r="NS38" s="125"/>
      <c r="NT38" s="708" t="s">
        <v>2577</v>
      </c>
      <c r="NU38" s="46">
        <v>6.56</v>
      </c>
      <c r="NW38" s="713"/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74" t="s">
        <v>2548</v>
      </c>
      <c r="DJ39" s="774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R39" s="698" t="s">
        <v>3599</v>
      </c>
      <c r="NS39" s="60">
        <f>13.36+8.96</f>
        <v>22.32</v>
      </c>
      <c r="NW39" s="713"/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9" t="s">
        <v>2117</v>
      </c>
      <c r="II40" s="759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R40" s="699" t="s">
        <v>3613</v>
      </c>
      <c r="NS40" s="696">
        <v>6.16</v>
      </c>
      <c r="NW40" s="713"/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73" t="s">
        <v>2954</v>
      </c>
      <c r="KO41" s="773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R41" s="699" t="s">
        <v>3616</v>
      </c>
      <c r="NS41" s="696">
        <v>19.2</v>
      </c>
      <c r="NT41" s="697" t="s">
        <v>2686</v>
      </c>
      <c r="NW41" s="713"/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T42" s="715" t="s">
        <v>2836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T43" s="699" t="s">
        <v>372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3526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9" t="s">
        <v>2877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9" t="s">
        <v>2874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  <c r="NT47" s="699" t="s">
        <v>3001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699" t="s">
        <v>3026</v>
      </c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81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81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</row>
    <row r="51" spans="41:379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81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</row>
    <row r="52" spans="41:379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81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79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79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79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79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79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79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79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79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79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79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79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79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  <c r="NU65" s="20"/>
    </row>
    <row r="66" spans="205:385">
      <c r="IJ66" s="185"/>
      <c r="IK66" s="163"/>
      <c r="IP66" s="186"/>
      <c r="JZ66" s="14" t="s">
        <v>3340</v>
      </c>
      <c r="KA66" s="14">
        <v>9.77</v>
      </c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  <col min="41" max="41" width="2.140625" style="716" customWidth="1"/>
    <col min="42" max="42" width="11.42578125" style="716" customWidth="1"/>
    <col min="43" max="43" width="4" style="716" bestFit="1" customWidth="1"/>
    <col min="44" max="44" width="7.5703125" style="716" customWidth="1"/>
    <col min="45" max="45" width="3.140625" customWidth="1"/>
    <col min="46" max="46" width="11.42578125" style="716" customWidth="1"/>
    <col min="47" max="47" width="4" style="716" bestFit="1" customWidth="1"/>
    <col min="48" max="48" width="7.5703125" style="716" customWidth="1"/>
  </cols>
  <sheetData>
    <row r="1" spans="2:48" ht="5.45" customHeight="1"/>
    <row r="2" spans="2:48" s="661" customFormat="1" ht="12" customHeight="1">
      <c r="B2" s="29"/>
      <c r="F2" s="29"/>
      <c r="J2" s="29"/>
      <c r="N2" s="29"/>
      <c r="V2" s="29"/>
      <c r="X2" s="30"/>
      <c r="AL2" s="718">
        <v>3.5999999999999997E-2</v>
      </c>
      <c r="AM2" s="661" t="s">
        <v>3528</v>
      </c>
      <c r="AO2" s="716"/>
      <c r="AP2" s="718">
        <v>3.5499999999999997E-2</v>
      </c>
      <c r="AQ2" s="716"/>
      <c r="AR2" s="716"/>
      <c r="AT2" s="718">
        <v>3.3000000000000002E-2</v>
      </c>
      <c r="AU2" s="716"/>
      <c r="AV2" s="716"/>
    </row>
    <row r="3" spans="2:48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  <c r="AP3" s="29" t="s">
        <v>1482</v>
      </c>
      <c r="AQ3" s="716" t="s">
        <v>532</v>
      </c>
      <c r="AR3" s="716" t="s">
        <v>3348</v>
      </c>
      <c r="AT3" s="29" t="s">
        <v>1540</v>
      </c>
      <c r="AU3" s="716" t="s">
        <v>532</v>
      </c>
      <c r="AV3" s="716" t="s">
        <v>3348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16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20.515068493150682</v>
      </c>
      <c r="AO5" s="31"/>
      <c r="AP5" s="29">
        <v>45565</v>
      </c>
      <c r="AQ5" s="716">
        <v>204</v>
      </c>
      <c r="AR5" s="31">
        <f>AQ5*1000*$AP$2/365</f>
        <v>19.841095890410955</v>
      </c>
      <c r="AT5" s="29">
        <v>45595</v>
      </c>
      <c r="AU5" s="716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10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20.515068493150682</v>
      </c>
      <c r="AO6" s="31"/>
      <c r="AP6" s="29">
        <v>45564</v>
      </c>
      <c r="AQ6" s="716">
        <v>304</v>
      </c>
      <c r="AR6" s="31">
        <f t="shared" ref="AR6:AR34" si="11">AQ6*1000*$AP$2/365</f>
        <v>29.56712328767123</v>
      </c>
      <c r="AT6" s="29">
        <v>45594</v>
      </c>
      <c r="AU6" s="716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10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18.93698630136986</v>
      </c>
      <c r="AO7" s="31"/>
      <c r="AP7" s="29">
        <v>45563</v>
      </c>
      <c r="AQ7" s="716">
        <v>304</v>
      </c>
      <c r="AR7" s="31">
        <f t="shared" si="11"/>
        <v>29.56712328767123</v>
      </c>
      <c r="AT7" s="29">
        <v>45593</v>
      </c>
      <c r="AU7" s="716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10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18.93698630136986</v>
      </c>
      <c r="AO8" s="31"/>
      <c r="AP8" s="29">
        <v>45562</v>
      </c>
      <c r="AQ8" s="716">
        <v>204</v>
      </c>
      <c r="AR8" s="31">
        <f t="shared" si="11"/>
        <v>19.841095890410955</v>
      </c>
      <c r="AT8" s="29">
        <v>45592</v>
      </c>
      <c r="AU8" s="716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10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18.93698630136986</v>
      </c>
      <c r="AO9" s="31"/>
      <c r="AP9" s="29">
        <v>45561</v>
      </c>
      <c r="AQ9" s="716">
        <v>287</v>
      </c>
      <c r="AR9" s="31">
        <f t="shared" si="11"/>
        <v>27.913698630136988</v>
      </c>
      <c r="AT9" s="29">
        <v>45591</v>
      </c>
      <c r="AU9" s="716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10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18.93698630136986</v>
      </c>
      <c r="AO10" s="31"/>
      <c r="AP10" s="29">
        <v>45560</v>
      </c>
      <c r="AQ10" s="716">
        <v>184</v>
      </c>
      <c r="AR10" s="31">
        <f t="shared" si="11"/>
        <v>17.895890410958902</v>
      </c>
      <c r="AT10" s="29">
        <v>45590</v>
      </c>
      <c r="AU10" s="716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10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18.93698630136986</v>
      </c>
      <c r="AO11" s="31"/>
      <c r="AP11" s="29">
        <v>45559</v>
      </c>
      <c r="AQ11" s="716">
        <v>184</v>
      </c>
      <c r="AR11" s="31">
        <f t="shared" si="11"/>
        <v>17.895890410958902</v>
      </c>
      <c r="AT11" s="29">
        <v>45589</v>
      </c>
      <c r="AU11" s="716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10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18.93698630136986</v>
      </c>
      <c r="AO12" s="31"/>
      <c r="AP12" s="29">
        <v>45558</v>
      </c>
      <c r="AQ12" s="716">
        <v>184</v>
      </c>
      <c r="AR12" s="31">
        <f t="shared" si="11"/>
        <v>17.895890410958902</v>
      </c>
      <c r="AT12" s="29">
        <v>45588</v>
      </c>
      <c r="AU12" s="716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16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16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16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16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16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16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16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16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16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16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16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16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16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16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16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16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16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16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16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16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10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16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10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16">
        <v>220</v>
      </c>
      <c r="AV34" s="31">
        <f t="shared" si="8"/>
        <v>19.890410958904109</v>
      </c>
    </row>
    <row r="35" spans="2:48">
      <c r="AD35" s="619"/>
      <c r="AE35" s="619"/>
      <c r="AF35" s="619"/>
    </row>
    <row r="36" spans="2:48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285.53424657534237</v>
      </c>
      <c r="AO36" s="34"/>
      <c r="AP36" s="29" t="s">
        <v>3349</v>
      </c>
      <c r="AR36" s="34">
        <f>SUM(AR4:AR34)</f>
        <v>559.83013698630134</v>
      </c>
      <c r="AT36" s="29" t="s">
        <v>3349</v>
      </c>
      <c r="AV36" s="34">
        <f>SUM(AV4:AV34)</f>
        <v>741.14383561643831</v>
      </c>
    </row>
    <row r="37" spans="2:48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7.91+284.46</f>
        <v>292.37</v>
      </c>
      <c r="AO37" s="252"/>
      <c r="AP37" s="29" t="s">
        <v>3350</v>
      </c>
      <c r="AR37" s="252">
        <v>558.57000000000005</v>
      </c>
      <c r="AT37" s="29" t="s">
        <v>3350</v>
      </c>
      <c r="AV37" s="343">
        <v>741.19</v>
      </c>
    </row>
    <row r="38" spans="2:48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6.8357534246576392</v>
      </c>
      <c r="AO38" s="30"/>
      <c r="AP38" s="29" t="s">
        <v>3351</v>
      </c>
      <c r="AR38" s="30">
        <f>AR37-AR36</f>
        <v>-1.2601369863012906</v>
      </c>
      <c r="AT38" s="29" t="s">
        <v>3351</v>
      </c>
      <c r="AV38" s="716">
        <f>AV37-AV36</f>
        <v>4.6164383561745126E-2</v>
      </c>
    </row>
    <row r="46" spans="2:48">
      <c r="AF46" s="252"/>
    </row>
    <row r="47" spans="2:48">
      <c r="AF47" s="25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6">
        <f>SUMPRODUCT(D3:D33,E3:E33)/365</f>
        <v>32.909589041095877</v>
      </c>
      <c r="E35" s="786"/>
      <c r="F35" s="26"/>
    </row>
    <row r="36" spans="2:11">
      <c r="B36" s="16" t="s">
        <v>3365</v>
      </c>
      <c r="D36" s="786" t="s">
        <v>3366</v>
      </c>
      <c r="E36" s="78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tBill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2024-11-18T13:40:41Z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