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05EC362-C5E7-49CC-B255-21A452975646}" xr6:coauthVersionLast="47" xr6:coauthVersionMax="47" xr10:uidLastSave="{00000000-0000-0000-0000-000000000000}"/>
  <bookViews>
    <workbookView xWindow="0" yWindow="0" windowWidth="13875" windowHeight="21600" firstSheet="1" activeTab="1" xr2:uid="{D4D1A54F-01AE-4300-8644-B16194D9355C}"/>
  </bookViews>
  <sheets>
    <sheet name="overlap ptf" sheetId="4" state="hidden" r:id="rId1"/>
    <sheet name="FWD300.old" sheetId="11" r:id="rId2"/>
    <sheet name="FWD300" sheetId="9" r:id="rId3"/>
    <sheet name="FLI250" sheetId="10" r:id="rId4"/>
    <sheet name="FLI2PF 317" sheetId="5" state="hidden" r:id="rId5"/>
    <sheet name="FLI2" sheetId="1" r:id="rId6"/>
    <sheet name="xirr tes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1" l="1"/>
  <c r="F38" i="11"/>
  <c r="F37" i="11"/>
  <c r="F36" i="11"/>
  <c r="F35" i="11"/>
  <c r="F34" i="11"/>
  <c r="F33" i="11"/>
  <c r="F32" i="11"/>
  <c r="F31" i="11"/>
  <c r="F30" i="11"/>
  <c r="F29" i="11"/>
  <c r="F28" i="11"/>
  <c r="K27" i="11"/>
  <c r="J27" i="11"/>
  <c r="F27" i="11"/>
  <c r="K26" i="11"/>
  <c r="F26" i="11"/>
  <c r="K25" i="11"/>
  <c r="K28" i="11" s="1"/>
  <c r="F6" i="11" s="1"/>
  <c r="F25" i="11"/>
  <c r="F24" i="11"/>
  <c r="F23" i="11"/>
  <c r="F22" i="11"/>
  <c r="F4" i="11"/>
  <c r="F3" i="11"/>
  <c r="B8" i="9"/>
  <c r="F8" i="9"/>
  <c r="F13" i="9"/>
  <c r="F14" i="9"/>
  <c r="F15" i="9"/>
  <c r="F16" i="9"/>
  <c r="F17" i="9"/>
  <c r="F18" i="9"/>
  <c r="F19" i="9"/>
  <c r="F9" i="9"/>
  <c r="F10" i="9"/>
  <c r="F11" i="9"/>
  <c r="F12" i="9"/>
  <c r="C15" i="10"/>
  <c r="C28" i="10"/>
  <c r="B8" i="10"/>
  <c r="B17" i="11" l="1"/>
  <c r="C17" i="11" s="1"/>
  <c r="B35" i="11"/>
  <c r="B29" i="11"/>
  <c r="B33" i="11"/>
  <c r="B28" i="11"/>
  <c r="B39" i="11"/>
  <c r="B24" i="11"/>
  <c r="B18" i="11"/>
  <c r="C18" i="11" s="1"/>
  <c r="B14" i="11"/>
  <c r="C14" i="11" s="1"/>
  <c r="B10" i="11"/>
  <c r="C10" i="11" s="1"/>
  <c r="C39" i="11"/>
  <c r="B25" i="11"/>
  <c r="B34" i="11"/>
  <c r="F39" i="11"/>
  <c r="B27" i="11"/>
  <c r="B15" i="11"/>
  <c r="C15" i="11" s="1"/>
  <c r="B26" i="11"/>
  <c r="C26" i="11"/>
  <c r="B36" i="11"/>
  <c r="B8" i="11"/>
  <c r="C8" i="11" s="1"/>
  <c r="B16" i="11"/>
  <c r="C16" i="11" s="1"/>
  <c r="B31" i="11"/>
  <c r="B23" i="11"/>
  <c r="B32" i="11"/>
  <c r="B38" i="11"/>
  <c r="B11" i="11"/>
  <c r="C11" i="11" s="1"/>
  <c r="B19" i="11"/>
  <c r="C19" i="11" s="1"/>
  <c r="B30" i="11"/>
  <c r="B12" i="11"/>
  <c r="C12" i="11" s="1"/>
  <c r="B22" i="11"/>
  <c r="B37" i="11"/>
  <c r="B9" i="11"/>
  <c r="C9" i="11" s="1"/>
  <c r="B13" i="11"/>
  <c r="C13" i="11" s="1"/>
  <c r="F27" i="10"/>
  <c r="F11" i="10"/>
  <c r="J15" i="10" l="1"/>
  <c r="K15" i="10" s="1"/>
  <c r="F8" i="10"/>
  <c r="F3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K14" i="10"/>
  <c r="F14" i="10"/>
  <c r="K13" i="10"/>
  <c r="F13" i="10"/>
  <c r="F12" i="10"/>
  <c r="F4" i="10"/>
  <c r="K25" i="9"/>
  <c r="F22" i="9"/>
  <c r="F3" i="9"/>
  <c r="J27" i="9"/>
  <c r="F4" i="9"/>
  <c r="F28" i="10" l="1"/>
  <c r="K16" i="10"/>
  <c r="F6" i="10" s="1"/>
  <c r="B14" i="10" s="1"/>
  <c r="B23" i="10"/>
  <c r="F39" i="9"/>
  <c r="B28" i="10" l="1"/>
  <c r="B26" i="10"/>
  <c r="B16" i="10"/>
  <c r="B21" i="10"/>
  <c r="B20" i="10"/>
  <c r="B22" i="10"/>
  <c r="B13" i="10"/>
  <c r="B27" i="10"/>
  <c r="B12" i="10"/>
  <c r="B11" i="10"/>
  <c r="C8" i="10"/>
  <c r="B25" i="10"/>
  <c r="B19" i="10"/>
  <c r="B15" i="10"/>
  <c r="B17" i="10"/>
  <c r="B24" i="10"/>
  <c r="B18" i="10"/>
  <c r="F27" i="9"/>
  <c r="K26" i="9"/>
  <c r="K27" i="9"/>
  <c r="F23" i="9"/>
  <c r="F31" i="9"/>
  <c r="F35" i="9"/>
  <c r="F26" i="9"/>
  <c r="C26" i="9" s="1"/>
  <c r="F38" i="9"/>
  <c r="F24" i="9"/>
  <c r="F28" i="9"/>
  <c r="F32" i="9"/>
  <c r="F36" i="9"/>
  <c r="F30" i="9"/>
  <c r="F34" i="9"/>
  <c r="F25" i="9"/>
  <c r="F29" i="9"/>
  <c r="F33" i="9"/>
  <c r="F37" i="9"/>
  <c r="H5" i="5"/>
  <c r="K28" i="9" l="1"/>
  <c r="F6" i="9" s="1"/>
  <c r="B22" i="9" s="1"/>
  <c r="J3" i="5"/>
  <c r="J5" i="5"/>
  <c r="B17" i="9" l="1"/>
  <c r="C17" i="9" s="1"/>
  <c r="B16" i="9"/>
  <c r="C16" i="9" s="1"/>
  <c r="B19" i="9"/>
  <c r="C19" i="9" s="1"/>
  <c r="B15" i="9"/>
  <c r="C15" i="9" s="1"/>
  <c r="B13" i="9"/>
  <c r="C13" i="9" s="1"/>
  <c r="B14" i="9"/>
  <c r="C14" i="9" s="1"/>
  <c r="B18" i="9"/>
  <c r="C18" i="9" s="1"/>
  <c r="B9" i="9"/>
  <c r="C9" i="9" s="1"/>
  <c r="B11" i="9"/>
  <c r="C11" i="9" s="1"/>
  <c r="B12" i="9"/>
  <c r="C12" i="9" s="1"/>
  <c r="B10" i="9"/>
  <c r="C10" i="9" s="1"/>
  <c r="C8" i="9"/>
  <c r="C39" i="9"/>
  <c r="B34" i="9"/>
  <c r="B35" i="9"/>
  <c r="B33" i="9"/>
  <c r="B23" i="9"/>
  <c r="B31" i="9"/>
  <c r="B27" i="9"/>
  <c r="B28" i="9"/>
  <c r="B36" i="9"/>
  <c r="B32" i="9"/>
  <c r="B30" i="9"/>
  <c r="B25" i="9"/>
  <c r="B39" i="9"/>
  <c r="B24" i="9"/>
  <c r="B37" i="9"/>
  <c r="B29" i="9"/>
  <c r="B26" i="9"/>
  <c r="B38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B14" i="5" s="1"/>
  <c r="D17" i="5"/>
  <c r="D21" i="5"/>
  <c r="D23" i="5"/>
  <c r="D26" i="5"/>
  <c r="D18" i="5"/>
  <c r="D20" i="5"/>
  <c r="D22" i="5"/>
  <c r="D12" i="5"/>
  <c r="B12" i="5" s="1"/>
  <c r="D13" i="5"/>
  <c r="D15" i="5"/>
  <c r="D19" i="5"/>
  <c r="D27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<sst xmlns="http://schemas.openxmlformats.org/spreadsheetml/2006/main" count="167" uniqueCount="98">
  <si>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</si>
  <si>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</si>
  <si>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</si>
  <si>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</si>
  <si>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</si>
  <si>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</si>
  <si>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</si>
  <si>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</si>
  <si>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</si>
  <si>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</si>
  <si>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</si>
  <si>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</si>
  <si>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</si>
  <si>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</si>
  <si>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</si>
  <si>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</si>
  <si>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</si>
  <si>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</si>
  <si>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</si>
  <si>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</si>
  <si>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</si>
  <si>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</si>
  <si>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</si>
  <si>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</si>
  <si>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</si>
  <si>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</si>
  <si>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</si>
  <si>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</si>
  <si>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</si>
  <si>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</si>
  <si>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</si>
  <si>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</si>
  <si>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</si>
  <si>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</si>
  <si>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</si>
  <si>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</si>
  <si>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</si>
  <si>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</si>
  <si>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</si>
  <si>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</si>
  <si>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</si>
  <si>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</si>
  <si>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</si>
  <si>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</si>
  <si>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</si>
  <si>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</si>
  <si>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</si>
  <si>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</si>
  <si>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</si>
  <si>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</si>
  <si>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</si>
  <si>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</si>
  <si>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</si>
  <si>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</si>
  <si>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</si>
  <si>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</si>
  <si>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</si>
  <si>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</si>
  <si>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</si>
  <si>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</si>
  <si>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</si>
  <si>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</si>
  <si>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</si>
  <si>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</si>
  <si>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</si>
  <si>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</si>
  <si>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</si>
  <si>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</si>
  <si>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</si>
  <si>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</si>
  <si>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</si>
  <si>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</si>
  <si>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</si>
  <si>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</si>
  <si>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</si>
  <si>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</si>
  <si>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</si>
  <si>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</si>
  <si>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</si>
  <si>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</si>
  <si>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</si>
  <si>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</si>
  <si>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</si>
  <si>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</si>
  <si>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</si>
  <si>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t>loan</t>
  </si>
  <si>
    <t>FLI upfront</t>
  </si>
  <si>
    <t xml:space="preserve">last window  LIR </t>
  </si>
  <si>
    <t>08M LIR =</t>
  </si>
  <si>
    <t>10M LIR =</t>
  </si>
  <si>
    <t>30M int cost</t>
  </si>
  <si>
    <t>Surrender bonus=14k after age70</t>
  </si>
  <si>
    <r>
      <t>&lt; 1M COF + 45 bps, can hit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>4 ppa</t>
    </r>
  </si>
  <si>
    <r>
      <t xml:space="preserve">&lt; 3.2554 ppa payouts, </t>
    </r>
    <r>
      <rPr>
        <sz val="11"/>
        <color theme="5" tint="0.39997558519241921"/>
        <rFont val="Calibri"/>
        <family val="2"/>
        <scheme val="minor"/>
      </rPr>
      <t>non-guaranteed</t>
    </r>
  </si>
  <si>
    <r>
      <t xml:space="preserve">&lt; 1M COF + 45 bps, can stay above </t>
    </r>
    <r>
      <rPr>
        <b/>
        <sz val="11"/>
        <color rgb="FFFF0000"/>
        <rFont val="Calibri"/>
        <family val="2"/>
        <scheme val="minor"/>
      </rPr>
      <t>3 ppa</t>
    </r>
    <r>
      <rPr>
        <sz val="11"/>
        <color theme="1"/>
        <rFont val="Calibri"/>
        <family val="2"/>
        <scheme val="minor"/>
      </rPr>
      <t xml:space="preserve"> (#1 risk)</t>
    </r>
  </si>
  <si>
    <r>
      <t xml:space="preserve">&lt; 3.38% for first 24 annual payouts, </t>
    </r>
    <r>
      <rPr>
        <sz val="11"/>
        <color theme="5" tint="0.39997558519241921"/>
        <rFont val="Calibri"/>
        <family val="2"/>
        <scheme val="minor"/>
      </rPr>
      <t>non-guaranteed</t>
    </r>
  </si>
  <si>
    <t>surr val=100%</t>
  </si>
  <si>
    <t>switch to annual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</si>
</sst>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2" fillId="0" borderId="0" xfId="0" applyFont="1" applyFill="1"/>
    <xf numFmtId="1" fontId="0" fillId="0" borderId="0" xfId="0" applyNumberFormat="1" applyFill="1"/>
    <xf numFmtId="3" fontId="0" fillId="0" borderId="6" xfId="0" applyNumberFormat="1" applyFill="1" applyBorder="1"/>
    <xf numFmtId="164" fontId="0" fillId="0" borderId="6" xfId="0" applyNumberFormat="1" applyFill="1" applyBorder="1" applyAlignment="1">
      <alignment horizontal="center"/>
    </xf>
    <xf numFmtId="3" fontId="0" fillId="0" borderId="1" xfId="0" applyNumberFormat="1" applyFill="1" applyBorder="1"/>
    <xf numFmtId="3" fontId="0" fillId="0" borderId="2" xfId="0" applyNumberFormat="1" applyFill="1" applyBorder="1"/>
    <xf numFmtId="3" fontId="0" fillId="0" borderId="13" xfId="0" applyNumberFormat="1" applyFill="1" applyBorder="1"/>
    <xf numFmtId="0" fontId="0" fillId="0" borderId="13" xfId="0" applyFill="1" applyBorder="1"/>
    <xf numFmtId="0" fontId="0" fillId="0" borderId="6" xfId="0" applyFill="1" applyBorder="1" applyAlignment="1">
      <alignment horizontal="right"/>
    </xf>
    <xf numFmtId="165" fontId="0" fillId="0" borderId="7" xfId="0" applyNumberFormat="1" applyFill="1" applyBorder="1"/>
    <xf numFmtId="9" fontId="0" fillId="0" borderId="6" xfId="0" applyNumberFormat="1" applyFill="1" applyBorder="1"/>
    <xf numFmtId="165" fontId="0" fillId="0" borderId="8" xfId="0" applyNumberFormat="1" applyFill="1" applyBorder="1"/>
    <xf numFmtId="167" fontId="0" fillId="0" borderId="6" xfId="0" applyNumberFormat="1" applyFill="1" applyBorder="1" applyAlignment="1">
      <alignment horizontal="left"/>
    </xf>
    <xf numFmtId="9" fontId="0" fillId="0" borderId="6" xfId="0" applyNumberFormat="1" applyFill="1" applyBorder="1" applyAlignment="1">
      <alignment horizontal="left"/>
    </xf>
    <xf numFmtId="0" fontId="0" fillId="0" borderId="0" xfId="0" applyBorder="1"/>
    <xf numFmtId="3" fontId="0" fillId="0" borderId="0" xfId="0" applyNumberFormat="1"/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0" fontId="0" fillId="0" borderId="1" xfId="0" applyFill="1" applyBorder="1"/>
    <xf numFmtId="0" fontId="0" fillId="0" borderId="0" xfId="0" applyFill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Fill="1" applyBorder="1" applyAlignment="1">
      <alignment horizontal="left" vertical="center"/>
    </xf>
    <xf numFmtId="3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14" xfId="0" applyBorder="1"/>
    <xf numFmtId="3" fontId="0" fillId="0" borderId="0" xfId="0" applyNumberFormat="1" applyBorder="1"/>
    <xf numFmtId="3" fontId="0" fillId="0" borderId="10" xfId="0" applyNumberFormat="1" applyBorder="1"/>
    <xf numFmtId="3" fontId="0" fillId="0" borderId="3" xfId="0" applyNumberFormat="1" applyBorder="1"/>
    <xf numFmtId="3" fontId="0" fillId="0" borderId="5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87" t="s">
        <v>38</v>
      </c>
      <c r="C24" s="88"/>
      <c r="D24" s="89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90"/>
      <c r="C25" s="91"/>
      <c r="D25" s="92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93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94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94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94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94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94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94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94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94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94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94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95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1CF9-B16D-47AD-9A5E-DD6D9370A5FE}">
  <dimension ref="B2:N46"/>
  <sheetViews>
    <sheetView tabSelected="1" workbookViewId="0">
      <selection activeCell="G17" sqref="G17"/>
    </sheetView>
  </sheetViews>
  <sheetFormatPr defaultRowHeight="15" x14ac:dyDescent="0.25"/>
  <cols>
    <col min="1" max="1" width="1" style="75" customWidth="1"/>
    <col min="2" max="2" width="13.42578125" style="75" bestFit="1" customWidth="1"/>
    <col min="3" max="3" width="7.28515625" style="75" bestFit="1" customWidth="1"/>
    <col min="4" max="4" width="2" style="75" customWidth="1"/>
    <col min="5" max="5" width="7.42578125" style="3" bestFit="1" customWidth="1"/>
    <col min="6" max="6" width="10.85546875" style="75" bestFit="1" customWidth="1"/>
    <col min="7" max="7" width="13.28515625" style="75" customWidth="1"/>
    <col min="8" max="8" width="17.85546875" style="75" bestFit="1" customWidth="1"/>
    <col min="9" max="9" width="9.140625" style="75"/>
    <col min="10" max="10" width="6.140625" style="75" customWidth="1"/>
    <col min="11" max="11" width="7.5703125" style="75" bestFit="1" customWidth="1"/>
    <col min="12" max="12" width="11.5703125" style="16" bestFit="1" customWidth="1"/>
    <col min="13" max="13" width="7.140625" style="75" bestFit="1" customWidth="1"/>
    <col min="14" max="16384" width="9.140625" style="75"/>
  </cols>
  <sheetData>
    <row r="2" spans="2:14" x14ac:dyDescent="0.25">
      <c r="E2" s="11"/>
      <c r="F2" s="8" t="s">
        <v>2</v>
      </c>
      <c r="H2" s="8" t="s">
        <v>0</v>
      </c>
      <c r="I2" s="47">
        <v>300000</v>
      </c>
    </row>
    <row r="3" spans="2:14" x14ac:dyDescent="0.25">
      <c r="B3" s="74"/>
      <c r="C3" s="2"/>
      <c r="D3" s="2"/>
      <c r="E3" s="9">
        <v>45597</v>
      </c>
      <c r="F3" s="10">
        <f>-24%*I2</f>
        <v>-72000</v>
      </c>
      <c r="G3" s="75" t="s">
        <v>63</v>
      </c>
      <c r="H3" s="8" t="s">
        <v>13</v>
      </c>
      <c r="I3" s="49">
        <v>1.8700000000000001E-2</v>
      </c>
    </row>
    <row r="4" spans="2:14" x14ac:dyDescent="0.25">
      <c r="B4" s="74"/>
      <c r="C4" s="2"/>
      <c r="D4" s="2"/>
      <c r="E4" s="9">
        <v>45689</v>
      </c>
      <c r="F4" s="10">
        <f>I3*I2</f>
        <v>5610</v>
      </c>
      <c r="G4" s="75" t="s">
        <v>44</v>
      </c>
      <c r="H4" s="38" t="s">
        <v>54</v>
      </c>
      <c r="I4" s="48">
        <v>3.3799999999999997E-2</v>
      </c>
      <c r="J4" s="77" t="s">
        <v>95</v>
      </c>
      <c r="K4" s="78"/>
      <c r="L4" s="78"/>
      <c r="M4" s="78"/>
      <c r="N4" s="78"/>
    </row>
    <row r="5" spans="2:14" x14ac:dyDescent="0.25">
      <c r="B5" s="74"/>
      <c r="C5" s="2"/>
      <c r="D5" s="2"/>
      <c r="E5" s="54"/>
      <c r="F5" s="10"/>
      <c r="G5" s="80" t="s">
        <v>65</v>
      </c>
      <c r="H5" s="13"/>
      <c r="I5" s="13"/>
    </row>
    <row r="6" spans="2:14" x14ac:dyDescent="0.25">
      <c r="B6" s="81" t="s">
        <v>70</v>
      </c>
      <c r="C6" s="83" t="s">
        <v>68</v>
      </c>
      <c r="D6" s="2"/>
      <c r="E6" s="9">
        <v>46174</v>
      </c>
      <c r="F6" s="10">
        <f>-K28</f>
        <v>-17618.7</v>
      </c>
      <c r="G6" s="80"/>
      <c r="H6" s="8" t="s">
        <v>61</v>
      </c>
      <c r="I6" s="12">
        <v>0.03</v>
      </c>
      <c r="J6" s="85" t="s">
        <v>92</v>
      </c>
      <c r="K6" s="86"/>
      <c r="L6" s="86"/>
      <c r="M6" s="86"/>
      <c r="N6" s="86"/>
    </row>
    <row r="7" spans="2:14" x14ac:dyDescent="0.25">
      <c r="B7" s="82"/>
      <c r="C7" s="84"/>
      <c r="D7" s="41"/>
      <c r="E7" s="54"/>
      <c r="F7" s="10"/>
      <c r="G7" s="80"/>
      <c r="H7" s="8" t="s">
        <v>82</v>
      </c>
      <c r="I7" s="47">
        <v>228000</v>
      </c>
      <c r="J7" s="85"/>
      <c r="K7" s="86"/>
      <c r="L7" s="86"/>
      <c r="M7" s="86"/>
      <c r="N7" s="86"/>
    </row>
    <row r="8" spans="2:14" x14ac:dyDescent="0.25">
      <c r="B8" s="52">
        <f>SUM($F$3:F8)</f>
        <v>-73868.7</v>
      </c>
      <c r="C8" s="53">
        <f>B8-$F$3</f>
        <v>-1868.6999999999971</v>
      </c>
      <c r="D8" s="75" t="s">
        <v>69</v>
      </c>
      <c r="E8" s="9">
        <v>46692</v>
      </c>
      <c r="F8" s="10">
        <f>$I$4*$I$2</f>
        <v>10139.999999999998</v>
      </c>
      <c r="G8" s="102" t="s">
        <v>96</v>
      </c>
      <c r="H8" s="100" t="s">
        <v>66</v>
      </c>
      <c r="I8" s="12">
        <v>2.5000000000000001E-2</v>
      </c>
      <c r="J8" s="85" t="s">
        <v>94</v>
      </c>
      <c r="K8" s="86"/>
      <c r="L8" s="86"/>
      <c r="M8" s="86"/>
      <c r="N8" s="86"/>
    </row>
    <row r="9" spans="2:14" x14ac:dyDescent="0.25">
      <c r="B9" s="52">
        <f>SUM($F$3:F9)</f>
        <v>-73868.7</v>
      </c>
      <c r="C9" s="53">
        <f t="shared" ref="C9:C19" si="0">B9-$F$3</f>
        <v>-1868.6999999999971</v>
      </c>
      <c r="E9" s="9">
        <v>46722</v>
      </c>
      <c r="F9" s="10"/>
    </row>
    <row r="10" spans="2:14" x14ac:dyDescent="0.25">
      <c r="B10" s="52">
        <f>SUM($F$3:F10)</f>
        <v>-73868.7</v>
      </c>
      <c r="C10" s="53">
        <f t="shared" si="0"/>
        <v>-1868.6999999999971</v>
      </c>
      <c r="E10" s="9">
        <v>46753</v>
      </c>
      <c r="F10" s="10"/>
    </row>
    <row r="11" spans="2:14" x14ac:dyDescent="0.25">
      <c r="B11" s="52">
        <f>SUM($F$3:F11)</f>
        <v>-73868.7</v>
      </c>
      <c r="C11" s="53">
        <f t="shared" si="0"/>
        <v>-1868.6999999999971</v>
      </c>
      <c r="E11" s="9">
        <v>46784</v>
      </c>
      <c r="F11" s="10"/>
    </row>
    <row r="12" spans="2:14" x14ac:dyDescent="0.25">
      <c r="B12" s="52">
        <f>SUM($F$3:F12)</f>
        <v>-73868.7</v>
      </c>
      <c r="C12" s="53">
        <f t="shared" si="0"/>
        <v>-1868.6999999999971</v>
      </c>
      <c r="E12" s="9">
        <v>46813</v>
      </c>
      <c r="F12" s="10"/>
    </row>
    <row r="13" spans="2:14" x14ac:dyDescent="0.25">
      <c r="B13" s="52">
        <f>SUM($F$3:F13)</f>
        <v>-73868.7</v>
      </c>
      <c r="C13" s="53">
        <f t="shared" si="0"/>
        <v>-1868.6999999999971</v>
      </c>
      <c r="E13" s="9">
        <v>46844</v>
      </c>
      <c r="F13" s="10"/>
    </row>
    <row r="14" spans="2:14" x14ac:dyDescent="0.25">
      <c r="B14" s="52">
        <f>SUM($F$3:F14)</f>
        <v>-73868.7</v>
      </c>
      <c r="C14" s="53">
        <f t="shared" si="0"/>
        <v>-1868.6999999999971</v>
      </c>
      <c r="E14" s="9">
        <v>46874</v>
      </c>
      <c r="F14" s="10"/>
    </row>
    <row r="15" spans="2:14" x14ac:dyDescent="0.25">
      <c r="B15" s="52">
        <f>SUM($F$3:F15)</f>
        <v>-73868.7</v>
      </c>
      <c r="C15" s="53">
        <f t="shared" si="0"/>
        <v>-1868.6999999999971</v>
      </c>
      <c r="E15" s="9">
        <v>46905</v>
      </c>
      <c r="F15" s="10"/>
    </row>
    <row r="16" spans="2:14" x14ac:dyDescent="0.25">
      <c r="B16" s="52">
        <f>SUM($F$3:F16)</f>
        <v>-73868.7</v>
      </c>
      <c r="C16" s="53">
        <f t="shared" si="0"/>
        <v>-1868.6999999999971</v>
      </c>
      <c r="E16" s="9">
        <v>46935</v>
      </c>
      <c r="F16" s="10"/>
    </row>
    <row r="17" spans="2:12" x14ac:dyDescent="0.25">
      <c r="B17" s="52">
        <f>SUM($F$3:F17)</f>
        <v>-73868.7</v>
      </c>
      <c r="C17" s="53">
        <f t="shared" si="0"/>
        <v>-1868.6999999999971</v>
      </c>
      <c r="E17" s="9">
        <v>46966</v>
      </c>
      <c r="F17" s="10"/>
    </row>
    <row r="18" spans="2:12" x14ac:dyDescent="0.25">
      <c r="B18" s="52">
        <f>SUM($F$3:F18)</f>
        <v>-73868.7</v>
      </c>
      <c r="C18" s="53">
        <f t="shared" si="0"/>
        <v>-1868.6999999999971</v>
      </c>
      <c r="E18" s="9">
        <v>46997</v>
      </c>
      <c r="F18" s="10"/>
    </row>
    <row r="19" spans="2:12" x14ac:dyDescent="0.25">
      <c r="B19" s="103">
        <f>SUM($F$3:F19)</f>
        <v>-73868.7</v>
      </c>
      <c r="C19" s="104">
        <f t="shared" si="0"/>
        <v>-1868.6999999999971</v>
      </c>
      <c r="E19" s="9">
        <v>47027</v>
      </c>
      <c r="F19" s="10"/>
    </row>
    <row r="20" spans="2:12" x14ac:dyDescent="0.25">
      <c r="B20" s="101"/>
      <c r="C20" s="101"/>
      <c r="E20" s="9"/>
      <c r="F20" s="10"/>
    </row>
    <row r="21" spans="2:12" x14ac:dyDescent="0.25">
      <c r="B21" s="76" t="s">
        <v>49</v>
      </c>
      <c r="E21" s="9"/>
      <c r="F21" s="10"/>
      <c r="G21" s="6"/>
    </row>
    <row r="22" spans="2:12" x14ac:dyDescent="0.25">
      <c r="B22" s="74">
        <f>SUM($F$3:F22)</f>
        <v>-69428.7</v>
      </c>
      <c r="C22" s="2"/>
      <c r="D22" s="2"/>
      <c r="E22" s="9">
        <v>47058</v>
      </c>
      <c r="F22" s="10">
        <f>$I$4*$I$2-$I$8*$I$7</f>
        <v>4439.9999999999982</v>
      </c>
      <c r="G22" s="75" t="s">
        <v>97</v>
      </c>
      <c r="L22" s="75"/>
    </row>
    <row r="23" spans="2:12" x14ac:dyDescent="0.25">
      <c r="B23" s="74">
        <f>SUM($F$3:F23)</f>
        <v>-64988.7</v>
      </c>
      <c r="C23" s="2"/>
      <c r="D23" s="2"/>
      <c r="E23" s="9">
        <v>47423</v>
      </c>
      <c r="F23" s="10">
        <f t="shared" ref="F23:F38" si="1">$I$4*$I$2-$I$8*$I$7</f>
        <v>4439.9999999999982</v>
      </c>
    </row>
    <row r="24" spans="2:12" x14ac:dyDescent="0.25">
      <c r="B24" s="74">
        <f>SUM($F$3:F24)</f>
        <v>-60548.7</v>
      </c>
      <c r="C24" s="2"/>
      <c r="D24" s="2"/>
      <c r="E24" s="9">
        <v>47788</v>
      </c>
      <c r="F24" s="10">
        <f t="shared" si="1"/>
        <v>4439.9999999999982</v>
      </c>
      <c r="H24" s="73"/>
      <c r="I24" s="73"/>
      <c r="J24" s="73"/>
      <c r="K24" s="73" t="s">
        <v>83</v>
      </c>
      <c r="L24" s="16" t="s">
        <v>84</v>
      </c>
    </row>
    <row r="25" spans="2:12" x14ac:dyDescent="0.25">
      <c r="B25" s="74">
        <f>SUM($F$3:F25)</f>
        <v>-56108.7</v>
      </c>
      <c r="C25" s="73" t="s">
        <v>67</v>
      </c>
      <c r="D25" s="73"/>
      <c r="E25" s="9">
        <v>48153</v>
      </c>
      <c r="F25" s="10">
        <f t="shared" si="1"/>
        <v>4439.9999999999982</v>
      </c>
      <c r="H25" s="55" t="s">
        <v>71</v>
      </c>
      <c r="I25" s="8" t="s">
        <v>74</v>
      </c>
      <c r="J25" s="12">
        <v>2.53E-2</v>
      </c>
      <c r="K25" s="47">
        <f>$I$7*LEFT(I25,2)/12*J25</f>
        <v>4326.3</v>
      </c>
      <c r="L25" s="75">
        <v>490</v>
      </c>
    </row>
    <row r="26" spans="2:12" x14ac:dyDescent="0.25">
      <c r="B26" s="74">
        <f>SUM($F$3:F26)</f>
        <v>-51668.7</v>
      </c>
      <c r="C26" s="25">
        <f>-F26/F3</f>
        <v>6.166666666666664E-2</v>
      </c>
      <c r="D26" s="25"/>
      <c r="E26" s="9">
        <v>48519</v>
      </c>
      <c r="F26" s="10">
        <f t="shared" si="1"/>
        <v>4439.9999999999982</v>
      </c>
      <c r="H26" s="55" t="s">
        <v>72</v>
      </c>
      <c r="I26" s="8" t="s">
        <v>75</v>
      </c>
      <c r="J26" s="12">
        <v>2.3300000000000001E-2</v>
      </c>
      <c r="K26" s="47">
        <f>$I$7*LEFT(I26,2)/12*J26</f>
        <v>5312.4000000000005</v>
      </c>
      <c r="L26" s="75"/>
    </row>
    <row r="27" spans="2:12" ht="15.75" thickBot="1" x14ac:dyDescent="0.3">
      <c r="B27" s="74">
        <f>SUM($F$3:F27)</f>
        <v>-47228.7</v>
      </c>
      <c r="C27" s="2"/>
      <c r="D27" s="2"/>
      <c r="E27" s="9">
        <v>48884</v>
      </c>
      <c r="F27" s="10">
        <f t="shared" si="1"/>
        <v>4439.9999999999982</v>
      </c>
      <c r="H27" s="55" t="s">
        <v>73</v>
      </c>
      <c r="I27" s="8" t="s">
        <v>76</v>
      </c>
      <c r="J27" s="12">
        <f>I6</f>
        <v>0.03</v>
      </c>
      <c r="K27" s="58">
        <f>$I$7*LEFT(I27,2)/12*J27</f>
        <v>7980</v>
      </c>
    </row>
    <row r="28" spans="2:12" ht="15.75" thickTop="1" x14ac:dyDescent="0.25">
      <c r="B28" s="74">
        <f>SUM($F$3:F28)</f>
        <v>-42788.7</v>
      </c>
      <c r="C28" s="2"/>
      <c r="D28" s="2"/>
      <c r="E28" s="9">
        <v>49249</v>
      </c>
      <c r="F28" s="10">
        <f t="shared" si="1"/>
        <v>4439.9999999999982</v>
      </c>
      <c r="H28" s="8"/>
      <c r="I28" s="8"/>
      <c r="J28" s="56"/>
      <c r="K28" s="57">
        <f>SUM(K25:K27)</f>
        <v>17618.7</v>
      </c>
      <c r="L28" s="75"/>
    </row>
    <row r="29" spans="2:12" x14ac:dyDescent="0.25">
      <c r="B29" s="74">
        <f>SUM($F$3:F29)</f>
        <v>-38348.699999999997</v>
      </c>
      <c r="C29" s="2"/>
      <c r="D29" s="2"/>
      <c r="E29" s="9">
        <v>49614</v>
      </c>
      <c r="F29" s="10">
        <f t="shared" si="1"/>
        <v>4439.9999999999982</v>
      </c>
    </row>
    <row r="30" spans="2:12" x14ac:dyDescent="0.25">
      <c r="B30" s="74">
        <f>SUM($F$3:F30)</f>
        <v>-33908.699999999997</v>
      </c>
      <c r="C30" s="2"/>
      <c r="D30" s="2"/>
      <c r="E30" s="9">
        <v>49980</v>
      </c>
      <c r="F30" s="10">
        <f t="shared" si="1"/>
        <v>4439.9999999999982</v>
      </c>
    </row>
    <row r="31" spans="2:12" x14ac:dyDescent="0.25">
      <c r="B31" s="74">
        <f>SUM($F$3:F31)</f>
        <v>-29468.699999999997</v>
      </c>
      <c r="C31" s="2"/>
      <c r="D31" s="2"/>
      <c r="E31" s="9">
        <v>50345</v>
      </c>
      <c r="F31" s="10">
        <f t="shared" si="1"/>
        <v>4439.9999999999982</v>
      </c>
    </row>
    <row r="32" spans="2:12" x14ac:dyDescent="0.25">
      <c r="B32" s="74">
        <f>SUM($F$3:F32)</f>
        <v>-25028.699999999997</v>
      </c>
      <c r="C32" s="2"/>
      <c r="D32" s="2"/>
      <c r="E32" s="9">
        <v>50710</v>
      </c>
      <c r="F32" s="10">
        <f t="shared" si="1"/>
        <v>4439.9999999999982</v>
      </c>
    </row>
    <row r="33" spans="2:14" x14ac:dyDescent="0.25">
      <c r="B33" s="74">
        <f>SUM($F$3:F33)</f>
        <v>-20588.699999999997</v>
      </c>
      <c r="C33" s="2"/>
      <c r="D33" s="2"/>
      <c r="E33" s="9">
        <v>51075</v>
      </c>
      <c r="F33" s="10">
        <f t="shared" si="1"/>
        <v>4439.9999999999982</v>
      </c>
    </row>
    <row r="34" spans="2:14" x14ac:dyDescent="0.25">
      <c r="B34" s="74">
        <f>SUM($F$3:F34)</f>
        <v>-16148.699999999999</v>
      </c>
      <c r="C34" s="2"/>
      <c r="D34" s="2"/>
      <c r="E34" s="9">
        <v>51441</v>
      </c>
      <c r="F34" s="10">
        <f t="shared" si="1"/>
        <v>4439.9999999999982</v>
      </c>
    </row>
    <row r="35" spans="2:14" x14ac:dyDescent="0.25">
      <c r="B35" s="74">
        <f>SUM($F$3:F35)</f>
        <v>-11708.7</v>
      </c>
      <c r="C35" s="2"/>
      <c r="D35" s="2"/>
      <c r="E35" s="9">
        <v>51806</v>
      </c>
      <c r="F35" s="10">
        <f t="shared" si="1"/>
        <v>4439.9999999999982</v>
      </c>
    </row>
    <row r="36" spans="2:14" x14ac:dyDescent="0.25">
      <c r="B36" s="74">
        <f>SUM($F$3:F36)</f>
        <v>-7268.7000000000025</v>
      </c>
      <c r="C36" s="2"/>
      <c r="D36" s="2"/>
      <c r="E36" s="9">
        <v>52171</v>
      </c>
      <c r="F36" s="10">
        <f t="shared" si="1"/>
        <v>4439.9999999999982</v>
      </c>
    </row>
    <row r="37" spans="2:14" x14ac:dyDescent="0.25">
      <c r="B37" s="74">
        <f>SUM($F$3:F37)</f>
        <v>-2828.7000000000044</v>
      </c>
      <c r="C37" s="2"/>
      <c r="D37" s="2"/>
      <c r="E37" s="9">
        <v>52536</v>
      </c>
      <c r="F37" s="10">
        <f t="shared" si="1"/>
        <v>4439.9999999999982</v>
      </c>
    </row>
    <row r="38" spans="2:14" x14ac:dyDescent="0.25">
      <c r="B38" s="74">
        <f>SUM($F$3:F38)</f>
        <v>1611.2999999999938</v>
      </c>
      <c r="C38" s="2" t="s">
        <v>5</v>
      </c>
      <c r="D38" s="2"/>
      <c r="E38" s="9">
        <v>52902</v>
      </c>
      <c r="F38" s="10">
        <f t="shared" si="1"/>
        <v>4439.9999999999982</v>
      </c>
    </row>
    <row r="39" spans="2:14" x14ac:dyDescent="0.25">
      <c r="B39" s="74">
        <f>SUM($F$3:F39)</f>
        <v>73611.299999999988</v>
      </c>
      <c r="C39" s="2">
        <f>XIRR(F3:F39,E3:E39)</f>
        <v>4.5083108544349673E-2</v>
      </c>
      <c r="D39" s="2" t="s">
        <v>69</v>
      </c>
      <c r="E39" s="9">
        <v>53267</v>
      </c>
      <c r="F39" s="10">
        <f>-F3</f>
        <v>72000</v>
      </c>
      <c r="G39" s="6" t="s">
        <v>80</v>
      </c>
    </row>
    <row r="40" spans="2:14" x14ac:dyDescent="0.25">
      <c r="B40" s="74"/>
      <c r="C40" s="2"/>
      <c r="D40" s="2"/>
      <c r="H40" s="6"/>
      <c r="I40" s="6"/>
    </row>
    <row r="42" spans="2:14" x14ac:dyDescent="0.25">
      <c r="B42" s="75" t="s">
        <v>79</v>
      </c>
      <c r="E42" s="75"/>
    </row>
    <row r="43" spans="2:14" x14ac:dyDescent="0.25">
      <c r="B43" s="74" t="s">
        <v>77</v>
      </c>
      <c r="C43" s="74"/>
      <c r="D43" s="74"/>
      <c r="E43" s="74"/>
      <c r="F43" s="74"/>
      <c r="G43" s="74"/>
      <c r="L43" s="75"/>
    </row>
    <row r="44" spans="2:14" x14ac:dyDescent="0.25">
      <c r="B44" s="75" t="s">
        <v>78</v>
      </c>
      <c r="E44" s="75"/>
      <c r="H44" s="74"/>
      <c r="I44" s="74"/>
      <c r="J44" s="74"/>
      <c r="K44" s="74"/>
      <c r="L44" s="74"/>
      <c r="M44" s="74"/>
      <c r="N44" s="74"/>
    </row>
    <row r="45" spans="2:14" x14ac:dyDescent="0.25">
      <c r="B45" s="75" t="s">
        <v>81</v>
      </c>
      <c r="E45" s="75"/>
      <c r="L45" s="75"/>
    </row>
    <row r="46" spans="2:14" x14ac:dyDescent="0.25">
      <c r="L46" s="75"/>
    </row>
  </sheetData>
  <mergeCells count="7">
    <mergeCell ref="J8:N8"/>
    <mergeCell ref="J4:N4"/>
    <mergeCell ref="G5:G7"/>
    <mergeCell ref="B6:B7"/>
    <mergeCell ref="C6:C7"/>
    <mergeCell ref="J6:N6"/>
    <mergeCell ref="J7:N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46"/>
  <sheetViews>
    <sheetView workbookViewId="0">
      <selection activeCell="F8" sqref="F8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7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3.285156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2:14" x14ac:dyDescent="0.25">
      <c r="E2" s="11"/>
      <c r="F2" s="8" t="s">
        <v>2</v>
      </c>
      <c r="H2" s="8" t="s">
        <v>0</v>
      </c>
      <c r="I2" s="47">
        <v>300000</v>
      </c>
    </row>
    <row r="3" spans="2:14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2:14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s="77" t="s">
        <v>95</v>
      </c>
      <c r="K4" s="78"/>
      <c r="L4" s="78"/>
      <c r="M4" s="78"/>
      <c r="N4" s="78"/>
    </row>
    <row r="5" spans="2:14" x14ac:dyDescent="0.25">
      <c r="B5" s="5"/>
      <c r="C5" s="2"/>
      <c r="D5" s="2"/>
      <c r="E5" s="54"/>
      <c r="F5" s="10"/>
      <c r="G5" s="80" t="s">
        <v>65</v>
      </c>
      <c r="H5" s="13"/>
      <c r="I5" s="13"/>
    </row>
    <row r="6" spans="2:14" x14ac:dyDescent="0.25">
      <c r="B6" s="81" t="s">
        <v>70</v>
      </c>
      <c r="C6" s="83" t="s">
        <v>68</v>
      </c>
      <c r="D6" s="2"/>
      <c r="E6" s="9">
        <v>46174</v>
      </c>
      <c r="F6" s="10">
        <f>-K28</f>
        <v>-17618.7</v>
      </c>
      <c r="G6" s="80"/>
      <c r="H6" s="8" t="s">
        <v>61</v>
      </c>
      <c r="I6" s="12">
        <v>0.03</v>
      </c>
      <c r="J6" s="85" t="s">
        <v>92</v>
      </c>
      <c r="K6" s="86"/>
      <c r="L6" s="86"/>
      <c r="M6" s="86"/>
      <c r="N6" s="86"/>
    </row>
    <row r="7" spans="2:14" x14ac:dyDescent="0.25">
      <c r="B7" s="82"/>
      <c r="C7" s="84"/>
      <c r="D7" s="41"/>
      <c r="E7" s="54"/>
      <c r="F7" s="10"/>
      <c r="G7" s="80"/>
      <c r="H7" s="8" t="s">
        <v>82</v>
      </c>
      <c r="I7" s="47">
        <v>228000</v>
      </c>
      <c r="J7" s="85"/>
      <c r="K7" s="86"/>
      <c r="L7" s="86"/>
      <c r="M7" s="86"/>
      <c r="N7" s="86"/>
    </row>
    <row r="8" spans="2:14" x14ac:dyDescent="0.25">
      <c r="B8" s="52">
        <f>SUM($F$3:F8)</f>
        <v>-83638.7</v>
      </c>
      <c r="C8" s="53">
        <f>B8-$F$3</f>
        <v>-11638.699999999997</v>
      </c>
      <c r="D8" s="51" t="s">
        <v>69</v>
      </c>
      <c r="E8" s="9">
        <v>46692</v>
      </c>
      <c r="F8" s="10">
        <f>($I$4*$I$2-$I$8*$I$7)/12</f>
        <v>369.99999999999983</v>
      </c>
      <c r="G8" s="102" t="s">
        <v>96</v>
      </c>
      <c r="H8" s="100" t="s">
        <v>66</v>
      </c>
      <c r="I8" s="12">
        <v>2.5000000000000001E-2</v>
      </c>
      <c r="J8" s="85" t="s">
        <v>94</v>
      </c>
      <c r="K8" s="86"/>
      <c r="L8" s="86"/>
      <c r="M8" s="86"/>
      <c r="N8" s="86"/>
    </row>
    <row r="9" spans="2:14" x14ac:dyDescent="0.25">
      <c r="B9" s="52">
        <f>SUM($F$3:F9)</f>
        <v>-83268.7</v>
      </c>
      <c r="C9" s="53">
        <f t="shared" ref="C9:C19" si="0">B9-$F$3</f>
        <v>-11268.699999999997</v>
      </c>
      <c r="D9" s="75"/>
      <c r="E9" s="9">
        <v>46722</v>
      </c>
      <c r="F9" s="10">
        <f t="shared" ref="F9:F19" si="1">($I$4*$I$2-$I$8*$I$7)/12</f>
        <v>369.99999999999983</v>
      </c>
      <c r="G9" s="75"/>
    </row>
    <row r="10" spans="2:14" s="75" customFormat="1" x14ac:dyDescent="0.25">
      <c r="B10" s="52">
        <f>SUM($F$3:F10)</f>
        <v>-82898.7</v>
      </c>
      <c r="C10" s="53">
        <f t="shared" si="0"/>
        <v>-10898.699999999997</v>
      </c>
      <c r="E10" s="9">
        <v>46753</v>
      </c>
      <c r="F10" s="10">
        <f t="shared" si="1"/>
        <v>369.99999999999983</v>
      </c>
      <c r="L10" s="16"/>
    </row>
    <row r="11" spans="2:14" s="75" customFormat="1" x14ac:dyDescent="0.25">
      <c r="B11" s="52">
        <f>SUM($F$3:F11)</f>
        <v>-82528.7</v>
      </c>
      <c r="C11" s="53">
        <f t="shared" si="0"/>
        <v>-10528.699999999997</v>
      </c>
      <c r="E11" s="9">
        <v>46784</v>
      </c>
      <c r="F11" s="10">
        <f t="shared" si="1"/>
        <v>369.99999999999983</v>
      </c>
      <c r="L11" s="16"/>
    </row>
    <row r="12" spans="2:14" s="75" customFormat="1" x14ac:dyDescent="0.25">
      <c r="B12" s="52">
        <f>SUM($F$3:F12)</f>
        <v>-82158.7</v>
      </c>
      <c r="C12" s="53">
        <f t="shared" si="0"/>
        <v>-10158.699999999997</v>
      </c>
      <c r="E12" s="9">
        <v>46813</v>
      </c>
      <c r="F12" s="10">
        <f t="shared" si="1"/>
        <v>369.99999999999983</v>
      </c>
      <c r="L12" s="16"/>
    </row>
    <row r="13" spans="2:14" s="75" customFormat="1" x14ac:dyDescent="0.25">
      <c r="B13" s="52">
        <f>SUM($F$3:F13)</f>
        <v>-81788.7</v>
      </c>
      <c r="C13" s="53">
        <f t="shared" si="0"/>
        <v>-9788.6999999999971</v>
      </c>
      <c r="E13" s="9">
        <v>46844</v>
      </c>
      <c r="F13" s="10">
        <f t="shared" si="1"/>
        <v>369.99999999999983</v>
      </c>
      <c r="L13" s="16"/>
    </row>
    <row r="14" spans="2:14" s="75" customFormat="1" x14ac:dyDescent="0.25">
      <c r="B14" s="52">
        <f>SUM($F$3:F14)</f>
        <v>-81418.7</v>
      </c>
      <c r="C14" s="53">
        <f t="shared" si="0"/>
        <v>-9418.6999999999971</v>
      </c>
      <c r="E14" s="9">
        <v>46874</v>
      </c>
      <c r="F14" s="10">
        <f t="shared" si="1"/>
        <v>369.99999999999983</v>
      </c>
      <c r="L14" s="16"/>
    </row>
    <row r="15" spans="2:14" s="75" customFormat="1" x14ac:dyDescent="0.25">
      <c r="B15" s="52">
        <f>SUM($F$3:F15)</f>
        <v>-81048.7</v>
      </c>
      <c r="C15" s="53">
        <f t="shared" si="0"/>
        <v>-9048.6999999999971</v>
      </c>
      <c r="E15" s="9">
        <v>46905</v>
      </c>
      <c r="F15" s="10">
        <f t="shared" si="1"/>
        <v>369.99999999999983</v>
      </c>
      <c r="L15" s="16"/>
    </row>
    <row r="16" spans="2:14" s="75" customFormat="1" x14ac:dyDescent="0.25">
      <c r="B16" s="52">
        <f>SUM($F$3:F16)</f>
        <v>-80678.7</v>
      </c>
      <c r="C16" s="53">
        <f t="shared" si="0"/>
        <v>-8678.6999999999971</v>
      </c>
      <c r="E16" s="9">
        <v>46935</v>
      </c>
      <c r="F16" s="10">
        <f t="shared" si="1"/>
        <v>369.99999999999983</v>
      </c>
      <c r="L16" s="16"/>
    </row>
    <row r="17" spans="1:12" s="75" customFormat="1" x14ac:dyDescent="0.25">
      <c r="B17" s="52">
        <f>SUM($F$3:F17)</f>
        <v>-80308.7</v>
      </c>
      <c r="C17" s="53">
        <f t="shared" si="0"/>
        <v>-8308.6999999999971</v>
      </c>
      <c r="E17" s="9">
        <v>46966</v>
      </c>
      <c r="F17" s="10">
        <f t="shared" si="1"/>
        <v>369.99999999999983</v>
      </c>
      <c r="L17" s="16"/>
    </row>
    <row r="18" spans="1:12" s="75" customFormat="1" x14ac:dyDescent="0.25">
      <c r="B18" s="52">
        <f>SUM($F$3:F18)</f>
        <v>-79938.7</v>
      </c>
      <c r="C18" s="53">
        <f t="shared" si="0"/>
        <v>-7938.6999999999971</v>
      </c>
      <c r="E18" s="9">
        <v>46997</v>
      </c>
      <c r="F18" s="10">
        <f t="shared" si="1"/>
        <v>369.99999999999983</v>
      </c>
      <c r="L18" s="16"/>
    </row>
    <row r="19" spans="1:12" s="75" customFormat="1" x14ac:dyDescent="0.25">
      <c r="B19" s="103">
        <f>SUM($F$3:F19)</f>
        <v>-79568.7</v>
      </c>
      <c r="C19" s="104">
        <f t="shared" si="0"/>
        <v>-7568.6999999999971</v>
      </c>
      <c r="E19" s="9">
        <v>47027</v>
      </c>
      <c r="F19" s="10">
        <f t="shared" si="1"/>
        <v>369.99999999999983</v>
      </c>
      <c r="L19" s="16"/>
    </row>
    <row r="20" spans="1:12" s="75" customFormat="1" x14ac:dyDescent="0.25">
      <c r="B20" s="101"/>
      <c r="C20" s="101"/>
      <c r="E20" s="9"/>
      <c r="F20" s="10"/>
      <c r="L20" s="16"/>
    </row>
    <row r="21" spans="1:12" s="75" customFormat="1" x14ac:dyDescent="0.25">
      <c r="B21" s="26" t="s">
        <v>49</v>
      </c>
      <c r="C21" s="50"/>
      <c r="D21" s="51"/>
      <c r="E21" s="9"/>
      <c r="F21" s="10"/>
      <c r="G21" s="6"/>
      <c r="L21" s="16"/>
    </row>
    <row r="22" spans="1:12" s="50" customFormat="1" x14ac:dyDescent="0.25">
      <c r="A22" s="51"/>
      <c r="B22" s="5">
        <f>SUM($F$3:F22)</f>
        <v>-75128.7</v>
      </c>
      <c r="C22" s="2"/>
      <c r="D22" s="2"/>
      <c r="E22" s="9">
        <v>47058</v>
      </c>
      <c r="F22" s="10">
        <f>$I$4*$I$2-$I$8*$I$7</f>
        <v>4439.9999999999982</v>
      </c>
      <c r="G22" t="s">
        <v>97</v>
      </c>
    </row>
    <row r="23" spans="1:12" x14ac:dyDescent="0.25">
      <c r="B23" s="5">
        <f>SUM($F$3:F23)</f>
        <v>-70688.7</v>
      </c>
      <c r="C23" s="2"/>
      <c r="D23" s="2"/>
      <c r="E23" s="9">
        <v>47423</v>
      </c>
      <c r="F23" s="10">
        <f t="shared" ref="F23:F38" si="2">$I$4*$I$2-$I$8*$I$7</f>
        <v>4439.9999999999982</v>
      </c>
    </row>
    <row r="24" spans="1:12" x14ac:dyDescent="0.25">
      <c r="B24" s="5">
        <f>SUM($F$3:F24)</f>
        <v>-66248.7</v>
      </c>
      <c r="C24" s="2"/>
      <c r="D24" s="2"/>
      <c r="E24" s="9">
        <v>47788</v>
      </c>
      <c r="F24" s="10">
        <f t="shared" si="2"/>
        <v>4439.9999999999982</v>
      </c>
      <c r="H24" s="7"/>
      <c r="I24" s="7"/>
      <c r="J24" s="7"/>
      <c r="K24" s="7" t="s">
        <v>83</v>
      </c>
      <c r="L24" s="16" t="s">
        <v>84</v>
      </c>
    </row>
    <row r="25" spans="1:12" x14ac:dyDescent="0.25">
      <c r="B25" s="5">
        <f>SUM($F$3:F25)</f>
        <v>-61808.7</v>
      </c>
      <c r="C25" s="7" t="s">
        <v>67</v>
      </c>
      <c r="D25" s="7"/>
      <c r="E25" s="9">
        <v>48153</v>
      </c>
      <c r="F25" s="10">
        <f t="shared" si="2"/>
        <v>4439.9999999999982</v>
      </c>
      <c r="H25" s="55" t="s">
        <v>71</v>
      </c>
      <c r="I25" s="8" t="s">
        <v>74</v>
      </c>
      <c r="J25" s="12">
        <v>2.53E-2</v>
      </c>
      <c r="K25" s="47">
        <f>$I$7*LEFT(I25,2)/12*J25</f>
        <v>4326.3</v>
      </c>
      <c r="L25">
        <v>490</v>
      </c>
    </row>
    <row r="26" spans="1:12" x14ac:dyDescent="0.25">
      <c r="B26" s="5">
        <f>SUM($F$3:F26)</f>
        <v>-57368.7</v>
      </c>
      <c r="C26" s="25">
        <f>-F26/F3</f>
        <v>6.166666666666664E-2</v>
      </c>
      <c r="D26" s="25"/>
      <c r="E26" s="9">
        <v>48519</v>
      </c>
      <c r="F26" s="10">
        <f t="shared" si="2"/>
        <v>4439.9999999999982</v>
      </c>
      <c r="H26" s="55" t="s">
        <v>72</v>
      </c>
      <c r="I26" s="8" t="s">
        <v>75</v>
      </c>
      <c r="J26" s="12">
        <v>2.3300000000000001E-2</v>
      </c>
      <c r="K26" s="47">
        <f>$I$7*LEFT(I26,2)/12*J26</f>
        <v>5312.4000000000005</v>
      </c>
      <c r="L26"/>
    </row>
    <row r="27" spans="1:12" ht="15.75" thickBot="1" x14ac:dyDescent="0.3">
      <c r="B27" s="5">
        <f>SUM($F$3:F27)</f>
        <v>-52928.7</v>
      </c>
      <c r="C27" s="2"/>
      <c r="D27" s="2"/>
      <c r="E27" s="9">
        <v>48884</v>
      </c>
      <c r="F27" s="10">
        <f t="shared" si="2"/>
        <v>4439.9999999999982</v>
      </c>
      <c r="H27" s="55" t="s">
        <v>73</v>
      </c>
      <c r="I27" s="8" t="s">
        <v>76</v>
      </c>
      <c r="J27" s="12">
        <f>I6</f>
        <v>0.03</v>
      </c>
      <c r="K27" s="58">
        <f>$I$7*LEFT(I27,2)/12*J27</f>
        <v>7980</v>
      </c>
    </row>
    <row r="28" spans="1:12" ht="15.75" thickTop="1" x14ac:dyDescent="0.25">
      <c r="B28" s="5">
        <f>SUM($F$3:F28)</f>
        <v>-48488.7</v>
      </c>
      <c r="C28" s="2"/>
      <c r="D28" s="2"/>
      <c r="E28" s="9">
        <v>49249</v>
      </c>
      <c r="F28" s="10">
        <f t="shared" si="2"/>
        <v>4439.9999999999982</v>
      </c>
      <c r="H28" s="8"/>
      <c r="I28" s="8"/>
      <c r="J28" s="56"/>
      <c r="K28" s="57">
        <f>SUM(K25:K27)</f>
        <v>17618.7</v>
      </c>
      <c r="L28"/>
    </row>
    <row r="29" spans="1:12" x14ac:dyDescent="0.25">
      <c r="B29" s="5">
        <f>SUM($F$3:F29)</f>
        <v>-44048.7</v>
      </c>
      <c r="C29" s="2"/>
      <c r="D29" s="2"/>
      <c r="E29" s="9">
        <v>49614</v>
      </c>
      <c r="F29" s="10">
        <f t="shared" si="2"/>
        <v>4439.9999999999982</v>
      </c>
    </row>
    <row r="30" spans="1:12" x14ac:dyDescent="0.25">
      <c r="B30" s="5">
        <f>SUM($F$3:F30)</f>
        <v>-39608.699999999997</v>
      </c>
      <c r="C30" s="2"/>
      <c r="D30" s="2"/>
      <c r="E30" s="9">
        <v>49980</v>
      </c>
      <c r="F30" s="10">
        <f t="shared" si="2"/>
        <v>4439.9999999999982</v>
      </c>
    </row>
    <row r="31" spans="1:12" x14ac:dyDescent="0.25">
      <c r="B31" s="5">
        <f>SUM($F$3:F31)</f>
        <v>-35168.699999999997</v>
      </c>
      <c r="C31" s="2"/>
      <c r="D31" s="2"/>
      <c r="E31" s="9">
        <v>50345</v>
      </c>
      <c r="F31" s="10">
        <f t="shared" si="2"/>
        <v>4439.9999999999982</v>
      </c>
    </row>
    <row r="32" spans="1:12" x14ac:dyDescent="0.25">
      <c r="B32" s="5">
        <f>SUM($F$3:F32)</f>
        <v>-30728.699999999997</v>
      </c>
      <c r="C32" s="2"/>
      <c r="D32" s="2"/>
      <c r="E32" s="9">
        <v>50710</v>
      </c>
      <c r="F32" s="10">
        <f t="shared" si="2"/>
        <v>4439.9999999999982</v>
      </c>
    </row>
    <row r="33" spans="2:14" x14ac:dyDescent="0.25">
      <c r="B33" s="5">
        <f>SUM($F$3:F33)</f>
        <v>-26288.699999999997</v>
      </c>
      <c r="C33" s="2"/>
      <c r="D33" s="2"/>
      <c r="E33" s="9">
        <v>51075</v>
      </c>
      <c r="F33" s="10">
        <f t="shared" si="2"/>
        <v>4439.9999999999982</v>
      </c>
    </row>
    <row r="34" spans="2:14" x14ac:dyDescent="0.25">
      <c r="B34" s="5">
        <f>SUM($F$3:F34)</f>
        <v>-21848.699999999997</v>
      </c>
      <c r="C34" s="2"/>
      <c r="D34" s="2"/>
      <c r="E34" s="9">
        <v>51441</v>
      </c>
      <c r="F34" s="10">
        <f t="shared" si="2"/>
        <v>4439.9999999999982</v>
      </c>
    </row>
    <row r="35" spans="2:14" x14ac:dyDescent="0.25">
      <c r="B35" s="5">
        <f>SUM($F$3:F35)</f>
        <v>-17408.699999999997</v>
      </c>
      <c r="C35" s="2"/>
      <c r="D35" s="2"/>
      <c r="E35" s="9">
        <v>51806</v>
      </c>
      <c r="F35" s="10">
        <f t="shared" si="2"/>
        <v>4439.9999999999982</v>
      </c>
    </row>
    <row r="36" spans="2:14" x14ac:dyDescent="0.25">
      <c r="B36" s="5">
        <f>SUM($F$3:F36)</f>
        <v>-12968.699999999999</v>
      </c>
      <c r="C36" s="2"/>
      <c r="D36" s="2"/>
      <c r="E36" s="9">
        <v>52171</v>
      </c>
      <c r="F36" s="10">
        <f t="shared" si="2"/>
        <v>4439.9999999999982</v>
      </c>
    </row>
    <row r="37" spans="2:14" x14ac:dyDescent="0.25">
      <c r="B37" s="5">
        <f>SUM($F$3:F37)</f>
        <v>-8528.7000000000007</v>
      </c>
      <c r="C37" s="2"/>
      <c r="D37" s="2"/>
      <c r="E37" s="9">
        <v>52536</v>
      </c>
      <c r="F37" s="10">
        <f t="shared" si="2"/>
        <v>4439.9999999999982</v>
      </c>
    </row>
    <row r="38" spans="2:14" x14ac:dyDescent="0.25">
      <c r="B38" s="5">
        <f>SUM($F$3:F38)</f>
        <v>-4088.7000000000025</v>
      </c>
      <c r="C38" s="2" t="s">
        <v>5</v>
      </c>
      <c r="D38" s="2"/>
      <c r="E38" s="9">
        <v>52902</v>
      </c>
      <c r="F38" s="10">
        <f t="shared" si="2"/>
        <v>4439.9999999999982</v>
      </c>
    </row>
    <row r="39" spans="2:14" x14ac:dyDescent="0.25">
      <c r="B39" s="5">
        <f>SUM($F$3:F39)</f>
        <v>67911.3</v>
      </c>
      <c r="C39" s="2">
        <f>XIRR(F3:F39,E3:E39)</f>
        <v>4.0404370427131672E-2</v>
      </c>
      <c r="D39" s="2" t="s">
        <v>69</v>
      </c>
      <c r="E39" s="9">
        <v>53267</v>
      </c>
      <c r="F39" s="10">
        <f>-F3</f>
        <v>72000</v>
      </c>
      <c r="G39" s="6" t="s">
        <v>80</v>
      </c>
    </row>
    <row r="40" spans="2:14" x14ac:dyDescent="0.25">
      <c r="B40" s="5"/>
      <c r="C40" s="2"/>
      <c r="D40" s="2"/>
      <c r="H40" s="6"/>
      <c r="I40" s="6"/>
    </row>
    <row r="42" spans="2:14" x14ac:dyDescent="0.25">
      <c r="B42" s="75" t="s">
        <v>79</v>
      </c>
      <c r="C42" s="75"/>
      <c r="D42" s="75"/>
      <c r="E42" s="75"/>
      <c r="F42" s="75"/>
      <c r="G42" s="75"/>
    </row>
    <row r="43" spans="2:14" x14ac:dyDescent="0.25">
      <c r="B43" s="74" t="s">
        <v>77</v>
      </c>
      <c r="C43" s="74"/>
      <c r="D43" s="74"/>
      <c r="E43" s="74"/>
      <c r="F43" s="74"/>
      <c r="G43" s="74"/>
      <c r="H43" s="75"/>
      <c r="I43" s="75"/>
      <c r="J43" s="75"/>
      <c r="K43" s="75"/>
      <c r="L43" s="75"/>
      <c r="M43" s="75"/>
      <c r="N43" s="75"/>
    </row>
    <row r="44" spans="2:14" x14ac:dyDescent="0.25">
      <c r="B44" s="75" t="s">
        <v>78</v>
      </c>
      <c r="C44" s="75"/>
      <c r="D44" s="75"/>
      <c r="E44" s="75"/>
      <c r="F44" s="75"/>
      <c r="G44" s="75"/>
      <c r="H44" s="74"/>
      <c r="I44" s="74"/>
      <c r="J44" s="74"/>
      <c r="K44" s="74"/>
      <c r="L44" s="74"/>
      <c r="M44" s="74"/>
      <c r="N44" s="74"/>
    </row>
    <row r="45" spans="2:14" x14ac:dyDescent="0.25">
      <c r="B45" s="75" t="s">
        <v>81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</row>
    <row r="46" spans="2:14" x14ac:dyDescent="0.25">
      <c r="H46" s="75"/>
      <c r="I46" s="75"/>
      <c r="J46" s="75"/>
      <c r="K46" s="75"/>
      <c r="L46" s="75"/>
      <c r="M46" s="75"/>
      <c r="N46" s="75"/>
    </row>
  </sheetData>
  <mergeCells count="7">
    <mergeCell ref="J4:N4"/>
    <mergeCell ref="G5:G7"/>
    <mergeCell ref="B6:B7"/>
    <mergeCell ref="C6:C7"/>
    <mergeCell ref="J6:N6"/>
    <mergeCell ref="J7:N7"/>
    <mergeCell ref="J8:N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558D-340A-4915-9138-05C94A67D7D4}">
  <dimension ref="B2:N34"/>
  <sheetViews>
    <sheetView workbookViewId="0">
      <selection activeCell="F8" sqref="F8"/>
    </sheetView>
  </sheetViews>
  <sheetFormatPr defaultRowHeight="15" x14ac:dyDescent="0.25"/>
  <cols>
    <col min="1" max="1" width="1" style="26" customWidth="1"/>
    <col min="2" max="2" width="13.42578125" style="26" bestFit="1" customWidth="1"/>
    <col min="3" max="3" width="6.28515625" style="26" bestFit="1" customWidth="1"/>
    <col min="4" max="4" width="2" style="26" customWidth="1"/>
    <col min="5" max="5" width="7.42578125" style="29" bestFit="1" customWidth="1"/>
    <col min="6" max="6" width="10.85546875" style="26" bestFit="1" customWidth="1"/>
    <col min="7" max="7" width="15.42578125" style="26" customWidth="1"/>
    <col min="8" max="8" width="17.85546875" style="26" bestFit="1" customWidth="1"/>
    <col min="9" max="9" width="9.140625" style="26"/>
    <col min="10" max="10" width="6.140625" style="26" customWidth="1"/>
    <col min="11" max="11" width="7.5703125" style="26" bestFit="1" customWidth="1"/>
    <col min="12" max="12" width="11.5703125" style="60" bestFit="1" customWidth="1"/>
    <col min="13" max="13" width="7.140625" style="26" bestFit="1" customWidth="1"/>
    <col min="14" max="16384" width="9.140625" style="26"/>
  </cols>
  <sheetData>
    <row r="2" spans="2:14" x14ac:dyDescent="0.25">
      <c r="E2" s="42"/>
      <c r="F2" s="35" t="s">
        <v>2</v>
      </c>
      <c r="H2" s="35" t="s">
        <v>0</v>
      </c>
      <c r="I2" s="36">
        <v>250774</v>
      </c>
    </row>
    <row r="3" spans="2:14" x14ac:dyDescent="0.25">
      <c r="B3" s="27"/>
      <c r="C3" s="28"/>
      <c r="D3" s="28"/>
      <c r="E3" s="43">
        <v>45658</v>
      </c>
      <c r="F3" s="61">
        <f>I7-I2</f>
        <v>-60774</v>
      </c>
      <c r="G3" s="26" t="s">
        <v>63</v>
      </c>
      <c r="H3" s="35" t="s">
        <v>13</v>
      </c>
      <c r="I3" s="72">
        <v>0.01</v>
      </c>
    </row>
    <row r="4" spans="2:14" x14ac:dyDescent="0.25">
      <c r="B4" s="27"/>
      <c r="C4" s="28"/>
      <c r="D4" s="28"/>
      <c r="E4" s="43">
        <v>45717</v>
      </c>
      <c r="F4" s="61">
        <f>I3*I2</f>
        <v>2507.7400000000002</v>
      </c>
      <c r="G4" s="26" t="s">
        <v>86</v>
      </c>
      <c r="H4" s="38" t="s">
        <v>54</v>
      </c>
      <c r="I4" s="71">
        <v>3.2554E-2</v>
      </c>
      <c r="J4" s="77" t="s">
        <v>93</v>
      </c>
      <c r="K4" s="79"/>
      <c r="L4" s="79"/>
      <c r="M4" s="79"/>
      <c r="N4" s="79"/>
    </row>
    <row r="5" spans="2:14" x14ac:dyDescent="0.25">
      <c r="B5" s="27"/>
      <c r="C5" s="28"/>
      <c r="D5" s="28"/>
      <c r="E5" s="62"/>
      <c r="F5" s="61"/>
      <c r="G5" s="96" t="s">
        <v>90</v>
      </c>
      <c r="H5" s="38"/>
      <c r="I5" s="38"/>
      <c r="J5" s="85"/>
      <c r="K5" s="86"/>
      <c r="L5" s="86"/>
      <c r="M5" s="86"/>
      <c r="N5" s="86"/>
    </row>
    <row r="6" spans="2:14" x14ac:dyDescent="0.25">
      <c r="B6" s="81" t="s">
        <v>70</v>
      </c>
      <c r="C6" s="83" t="s">
        <v>68</v>
      </c>
      <c r="D6" s="28"/>
      <c r="E6" s="43">
        <v>46082</v>
      </c>
      <c r="F6" s="61">
        <f>-K16</f>
        <v>-12381.666666666666</v>
      </c>
      <c r="G6" s="96"/>
      <c r="H6" s="35" t="s">
        <v>87</v>
      </c>
      <c r="I6" s="37">
        <v>0.03</v>
      </c>
      <c r="J6" s="85" t="s">
        <v>92</v>
      </c>
      <c r="K6" s="86"/>
      <c r="L6" s="86"/>
      <c r="M6" s="86"/>
      <c r="N6" s="86"/>
    </row>
    <row r="7" spans="2:14" x14ac:dyDescent="0.25">
      <c r="B7" s="82"/>
      <c r="C7" s="84"/>
      <c r="D7" s="41"/>
      <c r="E7" s="62"/>
      <c r="F7" s="61"/>
      <c r="G7" s="96"/>
      <c r="H7" s="35" t="s">
        <v>85</v>
      </c>
      <c r="I7" s="36">
        <v>190000</v>
      </c>
      <c r="J7" s="85"/>
      <c r="K7" s="86"/>
      <c r="L7" s="86"/>
      <c r="M7" s="86"/>
      <c r="N7" s="86"/>
    </row>
    <row r="8" spans="2:14" x14ac:dyDescent="0.25">
      <c r="B8" s="63">
        <f>SUM($F$3:F8)</f>
        <v>-62484.229870666662</v>
      </c>
      <c r="C8" s="64">
        <f>B8-F3</f>
        <v>-1710.2298706666625</v>
      </c>
      <c r="D8" s="27" t="s">
        <v>69</v>
      </c>
      <c r="E8" s="43">
        <v>46569</v>
      </c>
      <c r="F8" s="61">
        <f>I4*$I$2</f>
        <v>8163.6967960000002</v>
      </c>
      <c r="G8" s="26" t="s">
        <v>3</v>
      </c>
      <c r="H8" s="35" t="s">
        <v>66</v>
      </c>
      <c r="I8" s="37">
        <v>2.5000000000000001E-2</v>
      </c>
      <c r="J8" s="85" t="s">
        <v>94</v>
      </c>
      <c r="K8" s="86"/>
      <c r="L8" s="86"/>
      <c r="M8" s="86"/>
      <c r="N8" s="86"/>
    </row>
    <row r="9" spans="2:14" x14ac:dyDescent="0.25">
      <c r="B9" s="65"/>
      <c r="C9" s="66"/>
      <c r="E9" s="43"/>
      <c r="F9" s="61"/>
      <c r="G9" s="32"/>
    </row>
    <row r="10" spans="2:14" x14ac:dyDescent="0.25">
      <c r="B10" s="40" t="s">
        <v>49</v>
      </c>
      <c r="E10" s="43"/>
      <c r="F10" s="61"/>
      <c r="G10" s="32"/>
      <c r="L10" s="26"/>
    </row>
    <row r="11" spans="2:14" x14ac:dyDescent="0.25">
      <c r="B11" s="27">
        <f>SUM($F$3:F11)</f>
        <v>-59070.533074666659</v>
      </c>
      <c r="C11" s="28"/>
      <c r="D11" s="28"/>
      <c r="E11" s="43">
        <v>46935</v>
      </c>
      <c r="F11" s="61">
        <f>$I$4*$I$2-$I$8*$I$7</f>
        <v>3413.6967960000002</v>
      </c>
    </row>
    <row r="12" spans="2:14" x14ac:dyDescent="0.25">
      <c r="B12" s="27">
        <f>SUM($F$3:F12)</f>
        <v>-55656.836278666655</v>
      </c>
      <c r="C12" s="28"/>
      <c r="D12" s="28"/>
      <c r="E12" s="43">
        <v>47300</v>
      </c>
      <c r="F12" s="61">
        <f t="shared" ref="F12:F27" si="0">$I$4*$I$2-$I$8*$I$7</f>
        <v>3413.6967960000002</v>
      </c>
      <c r="H12" s="33"/>
      <c r="I12" s="33"/>
      <c r="J12" s="33"/>
      <c r="K12" s="33" t="s">
        <v>83</v>
      </c>
      <c r="L12" s="60" t="s">
        <v>84</v>
      </c>
    </row>
    <row r="13" spans="2:14" x14ac:dyDescent="0.25">
      <c r="B13" s="27">
        <f>SUM($F$3:F13)</f>
        <v>-52243.139482666651</v>
      </c>
      <c r="C13" s="28"/>
      <c r="D13" s="28"/>
      <c r="E13" s="43">
        <v>47665</v>
      </c>
      <c r="F13" s="61">
        <f t="shared" si="0"/>
        <v>3413.6967960000002</v>
      </c>
      <c r="H13" s="67" t="s">
        <v>71</v>
      </c>
      <c r="I13" s="35" t="s">
        <v>88</v>
      </c>
      <c r="J13" s="37">
        <v>2.53E-2</v>
      </c>
      <c r="K13" s="36">
        <f>$I$7*LEFT(I13,2)/12*J13</f>
        <v>3204.6666666666665</v>
      </c>
      <c r="L13" s="26"/>
    </row>
    <row r="14" spans="2:14" x14ac:dyDescent="0.25">
      <c r="B14" s="27">
        <f>SUM($F$3:F14)</f>
        <v>-48829.442686666647</v>
      </c>
      <c r="C14" s="33" t="s">
        <v>67</v>
      </c>
      <c r="D14" s="33"/>
      <c r="E14" s="43">
        <v>48030</v>
      </c>
      <c r="F14" s="61">
        <f t="shared" si="0"/>
        <v>3413.6967960000002</v>
      </c>
      <c r="H14" s="67" t="s">
        <v>72</v>
      </c>
      <c r="I14" s="35" t="s">
        <v>75</v>
      </c>
      <c r="J14" s="37">
        <v>2.3300000000000001E-2</v>
      </c>
      <c r="K14" s="36">
        <f>$I$7*LEFT(I14,2)/12*J14</f>
        <v>4427</v>
      </c>
      <c r="L14" s="26"/>
    </row>
    <row r="15" spans="2:14" ht="15.75" thickBot="1" x14ac:dyDescent="0.3">
      <c r="B15" s="27">
        <f>SUM($F$3:F15)</f>
        <v>-45415.745890666643</v>
      </c>
      <c r="C15" s="34">
        <f>-F15/F3</f>
        <v>5.617034909665318E-2</v>
      </c>
      <c r="D15" s="34"/>
      <c r="E15" s="43">
        <v>48396</v>
      </c>
      <c r="F15" s="61">
        <f t="shared" si="0"/>
        <v>3413.6967960000002</v>
      </c>
      <c r="H15" s="67" t="s">
        <v>73</v>
      </c>
      <c r="I15" s="35" t="s">
        <v>89</v>
      </c>
      <c r="J15" s="37">
        <f>I6</f>
        <v>0.03</v>
      </c>
      <c r="K15" s="68">
        <f>$I$7*LEFT(I15,2)/12*J15</f>
        <v>4750</v>
      </c>
    </row>
    <row r="16" spans="2:14" ht="15.75" thickTop="1" x14ac:dyDescent="0.25">
      <c r="B16" s="27">
        <f>SUM($F$3:F16)</f>
        <v>-42002.04909466664</v>
      </c>
      <c r="C16" s="28"/>
      <c r="D16" s="28"/>
      <c r="E16" s="43">
        <v>48761</v>
      </c>
      <c r="F16" s="61">
        <f t="shared" si="0"/>
        <v>3413.6967960000002</v>
      </c>
      <c r="H16" s="35"/>
      <c r="I16" s="35"/>
      <c r="J16" s="69"/>
      <c r="K16" s="70">
        <f>SUM(K13:K15)</f>
        <v>12381.666666666666</v>
      </c>
      <c r="L16" s="26"/>
    </row>
    <row r="17" spans="2:14" x14ac:dyDescent="0.25">
      <c r="B17" s="27">
        <f>SUM($F$3:F17)</f>
        <v>-38588.352298666636</v>
      </c>
      <c r="C17" s="28"/>
      <c r="D17" s="28"/>
      <c r="E17" s="43">
        <v>49126</v>
      </c>
      <c r="F17" s="61">
        <f t="shared" si="0"/>
        <v>3413.6967960000002</v>
      </c>
    </row>
    <row r="18" spans="2:14" x14ac:dyDescent="0.25">
      <c r="B18" s="27">
        <f>SUM($F$3:F18)</f>
        <v>-35174.655502666632</v>
      </c>
      <c r="C18" s="28"/>
      <c r="D18" s="28"/>
      <c r="E18" s="43">
        <v>49491</v>
      </c>
      <c r="F18" s="61">
        <f t="shared" si="0"/>
        <v>3413.6967960000002</v>
      </c>
    </row>
    <row r="19" spans="2:14" x14ac:dyDescent="0.25">
      <c r="B19" s="27">
        <f>SUM($F$3:F19)</f>
        <v>-31760.958706666632</v>
      </c>
      <c r="C19" s="28"/>
      <c r="D19" s="28"/>
      <c r="E19" s="43">
        <v>49857</v>
      </c>
      <c r="F19" s="61">
        <f t="shared" si="0"/>
        <v>3413.6967960000002</v>
      </c>
    </row>
    <row r="20" spans="2:14" x14ac:dyDescent="0.25">
      <c r="B20" s="27">
        <f>SUM($F$3:F20)</f>
        <v>-28347.261910666632</v>
      </c>
      <c r="C20" s="28"/>
      <c r="D20" s="28"/>
      <c r="E20" s="43">
        <v>50222</v>
      </c>
      <c r="F20" s="61">
        <f t="shared" si="0"/>
        <v>3413.6967960000002</v>
      </c>
    </row>
    <row r="21" spans="2:14" x14ac:dyDescent="0.25">
      <c r="B21" s="27">
        <f>SUM($F$3:F21)</f>
        <v>-24933.565114666631</v>
      </c>
      <c r="C21" s="28"/>
      <c r="D21" s="28"/>
      <c r="E21" s="43">
        <v>50587</v>
      </c>
      <c r="F21" s="61">
        <f t="shared" si="0"/>
        <v>3413.6967960000002</v>
      </c>
    </row>
    <row r="22" spans="2:14" x14ac:dyDescent="0.25">
      <c r="B22" s="27">
        <f>SUM($F$3:F22)</f>
        <v>-21519.868318666631</v>
      </c>
      <c r="C22" s="28"/>
      <c r="D22" s="28"/>
      <c r="E22" s="43">
        <v>50952</v>
      </c>
      <c r="F22" s="61">
        <f t="shared" si="0"/>
        <v>3413.6967960000002</v>
      </c>
    </row>
    <row r="23" spans="2:14" x14ac:dyDescent="0.25">
      <c r="B23" s="27">
        <f>SUM($F$3:F23)</f>
        <v>-18106.171522666631</v>
      </c>
      <c r="C23" s="28"/>
      <c r="D23" s="28"/>
      <c r="E23" s="43">
        <v>51318</v>
      </c>
      <c r="F23" s="61">
        <f t="shared" si="0"/>
        <v>3413.6967960000002</v>
      </c>
    </row>
    <row r="24" spans="2:14" x14ac:dyDescent="0.25">
      <c r="B24" s="27">
        <f>SUM($F$3:F24)</f>
        <v>-14692.474726666631</v>
      </c>
      <c r="C24" s="28"/>
      <c r="D24" s="28"/>
      <c r="E24" s="43">
        <v>51683</v>
      </c>
      <c r="F24" s="61">
        <f t="shared" si="0"/>
        <v>3413.6967960000002</v>
      </c>
    </row>
    <row r="25" spans="2:14" x14ac:dyDescent="0.25">
      <c r="B25" s="27">
        <f>SUM($F$3:F25)</f>
        <v>-11278.777930666631</v>
      </c>
      <c r="C25" s="28"/>
      <c r="D25" s="28"/>
      <c r="E25" s="43">
        <v>52048</v>
      </c>
      <c r="F25" s="61">
        <f t="shared" si="0"/>
        <v>3413.6967960000002</v>
      </c>
    </row>
    <row r="26" spans="2:14" x14ac:dyDescent="0.25">
      <c r="B26" s="27">
        <f>SUM($F$3:F26)</f>
        <v>-7865.0811346666305</v>
      </c>
      <c r="C26" s="28"/>
      <c r="D26" s="28"/>
      <c r="E26" s="43">
        <v>52413</v>
      </c>
      <c r="F26" s="61">
        <f t="shared" si="0"/>
        <v>3413.6967960000002</v>
      </c>
    </row>
    <row r="27" spans="2:14" x14ac:dyDescent="0.25">
      <c r="B27" s="27">
        <f>SUM($F$3:F27)</f>
        <v>-4451.3843386666304</v>
      </c>
      <c r="C27" s="28" t="s">
        <v>5</v>
      </c>
      <c r="D27" s="28"/>
      <c r="E27" s="43">
        <v>52779</v>
      </c>
      <c r="F27" s="61">
        <f t="shared" si="0"/>
        <v>3413.6967960000002</v>
      </c>
    </row>
    <row r="28" spans="2:14" x14ac:dyDescent="0.25">
      <c r="B28" s="27">
        <f>SUM($F$3:F28)</f>
        <v>70322.615661333373</v>
      </c>
      <c r="C28" s="28">
        <f>XIRR(F3:F28,E3:E28)</f>
        <v>5.0193390250205999E-2</v>
      </c>
      <c r="D28" s="28" t="s">
        <v>69</v>
      </c>
      <c r="E28" s="43">
        <v>52779</v>
      </c>
      <c r="F28" s="61">
        <f>ABS(F3)+14000</f>
        <v>74774</v>
      </c>
      <c r="G28" s="26" t="s">
        <v>91</v>
      </c>
      <c r="H28" s="32"/>
      <c r="I28" s="32"/>
    </row>
    <row r="29" spans="2:14" x14ac:dyDescent="0.25">
      <c r="B29" s="27"/>
      <c r="C29" s="28"/>
      <c r="D29" s="28"/>
    </row>
    <row r="31" spans="2:14" x14ac:dyDescent="0.2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</row>
    <row r="32" spans="2:14" x14ac:dyDescent="0.25">
      <c r="B32" s="97" t="s">
        <v>77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</row>
    <row r="33" spans="2:14" x14ac:dyDescent="0.25">
      <c r="B33" s="86" t="s">
        <v>78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</row>
    <row r="34" spans="2:14" x14ac:dyDescent="0.25"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</row>
  </sheetData>
  <mergeCells count="12">
    <mergeCell ref="J4:N4"/>
    <mergeCell ref="J5:N5"/>
    <mergeCell ref="J6:N6"/>
    <mergeCell ref="J7:N7"/>
    <mergeCell ref="J8:N8"/>
    <mergeCell ref="B34:N34"/>
    <mergeCell ref="G5:G7"/>
    <mergeCell ref="B6:B7"/>
    <mergeCell ref="C6:C7"/>
    <mergeCell ref="B31:N31"/>
    <mergeCell ref="B32:N32"/>
    <mergeCell ref="B33:N33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E6" sqref="E6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98" t="s">
        <v>51</v>
      </c>
      <c r="B7" s="99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2.5000000000000001E-2</v>
      </c>
    </row>
    <row r="11" spans="1:12" x14ac:dyDescent="0.25">
      <c r="A11" s="27"/>
      <c r="B11" s="34">
        <f>-D11/$D$3</f>
        <v>5.7334329790607458E-2</v>
      </c>
      <c r="C11" s="43">
        <v>46813</v>
      </c>
      <c r="D11" s="45">
        <f>10400-$H$10*$H$9</f>
        <v>4368.2979999999989</v>
      </c>
      <c r="I11" s="33"/>
      <c r="J11" s="33"/>
    </row>
    <row r="12" spans="1:12" x14ac:dyDescent="0.25">
      <c r="A12" s="27"/>
      <c r="B12" s="34">
        <f>-D12/$D$3</f>
        <v>5.7334329790607458E-2</v>
      </c>
      <c r="C12" s="43">
        <v>47178</v>
      </c>
      <c r="D12" s="45">
        <f t="shared" ref="D12:D27" si="1">10400-$H$10*$H$9</f>
        <v>4368.2979999999989</v>
      </c>
      <c r="G12" s="33"/>
      <c r="H12" s="33"/>
      <c r="I12" s="33"/>
      <c r="J12" s="33"/>
    </row>
    <row r="13" spans="1:12" x14ac:dyDescent="0.25">
      <c r="A13" s="27"/>
      <c r="B13" s="34">
        <f>-D13/$D$3</f>
        <v>5.7334329790607458E-2</v>
      </c>
      <c r="C13" s="43">
        <v>47543</v>
      </c>
      <c r="D13" s="45">
        <f t="shared" si="1"/>
        <v>4368.2979999999989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5.7334329790607458E-2</v>
      </c>
      <c r="C14" s="43">
        <v>47908</v>
      </c>
      <c r="D14" s="45">
        <f t="shared" si="1"/>
        <v>4368.2979999999989</v>
      </c>
    </row>
    <row r="15" spans="1:12" x14ac:dyDescent="0.25">
      <c r="A15" s="27"/>
      <c r="B15" s="34">
        <f t="shared" si="2"/>
        <v>5.7334329790607458E-2</v>
      </c>
      <c r="C15" s="43">
        <v>48274</v>
      </c>
      <c r="D15" s="45">
        <f t="shared" si="1"/>
        <v>4368.2979999999989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4368.2979999999989</v>
      </c>
    </row>
    <row r="17" spans="1:8" x14ac:dyDescent="0.25">
      <c r="A17" s="27"/>
      <c r="B17" s="28"/>
      <c r="C17" s="43">
        <v>49004</v>
      </c>
      <c r="D17" s="45">
        <f t="shared" si="1"/>
        <v>4368.2979999999989</v>
      </c>
    </row>
    <row r="18" spans="1:8" x14ac:dyDescent="0.25">
      <c r="A18" s="27"/>
      <c r="B18" s="28"/>
      <c r="C18" s="43">
        <v>49369</v>
      </c>
      <c r="D18" s="45">
        <f t="shared" si="1"/>
        <v>4368.2979999999989</v>
      </c>
    </row>
    <row r="19" spans="1:8" x14ac:dyDescent="0.25">
      <c r="A19" s="27"/>
      <c r="B19" s="28"/>
      <c r="C19" s="43">
        <v>49735</v>
      </c>
      <c r="D19" s="45">
        <f t="shared" si="1"/>
        <v>4368.2979999999989</v>
      </c>
    </row>
    <row r="20" spans="1:8" x14ac:dyDescent="0.25">
      <c r="A20" s="27"/>
      <c r="B20" s="28"/>
      <c r="C20" s="43">
        <v>50100</v>
      </c>
      <c r="D20" s="45">
        <f t="shared" si="1"/>
        <v>4368.2979999999989</v>
      </c>
    </row>
    <row r="21" spans="1:8" x14ac:dyDescent="0.25">
      <c r="A21" s="27"/>
      <c r="B21" s="28"/>
      <c r="C21" s="43">
        <v>50465</v>
      </c>
      <c r="D21" s="45">
        <f t="shared" si="1"/>
        <v>4368.2979999999989</v>
      </c>
    </row>
    <row r="22" spans="1:8" x14ac:dyDescent="0.25">
      <c r="A22" s="27"/>
      <c r="B22" s="28"/>
      <c r="C22" s="43">
        <v>50830</v>
      </c>
      <c r="D22" s="45">
        <f t="shared" si="1"/>
        <v>4368.2979999999989</v>
      </c>
    </row>
    <row r="23" spans="1:8" x14ac:dyDescent="0.25">
      <c r="A23" s="27"/>
      <c r="B23" s="28"/>
      <c r="C23" s="43">
        <v>51196</v>
      </c>
      <c r="D23" s="45">
        <f t="shared" si="1"/>
        <v>4368.2979999999989</v>
      </c>
    </row>
    <row r="24" spans="1:8" x14ac:dyDescent="0.25">
      <c r="A24" s="27"/>
      <c r="B24" s="28"/>
      <c r="C24" s="43">
        <v>51561</v>
      </c>
      <c r="D24" s="45">
        <f t="shared" si="1"/>
        <v>4368.2979999999989</v>
      </c>
    </row>
    <row r="25" spans="1:8" x14ac:dyDescent="0.25">
      <c r="A25" s="27"/>
      <c r="B25" s="28"/>
      <c r="C25" s="43">
        <v>51926</v>
      </c>
      <c r="D25" s="45">
        <f t="shared" si="1"/>
        <v>4368.2979999999989</v>
      </c>
    </row>
    <row r="26" spans="1:8" x14ac:dyDescent="0.25">
      <c r="A26" s="27"/>
      <c r="B26" s="28"/>
      <c r="C26" s="43">
        <v>52291</v>
      </c>
      <c r="D26" s="45">
        <f t="shared" si="1"/>
        <v>4368.2979999999989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4368.2979999999989</v>
      </c>
    </row>
    <row r="28" spans="1:8" x14ac:dyDescent="0.25">
      <c r="A28" s="27"/>
      <c r="B28" s="28">
        <f>XIRR(D3:D28,C3:C28)</f>
        <v>5.4609712958335874E-2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F53" sqref="F53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79" t="s">
        <v>62</v>
      </c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</row>
    <row r="4" spans="1:18" x14ac:dyDescent="0.25">
      <c r="A4" s="1">
        <v>37257</v>
      </c>
      <c r="B4">
        <v>3</v>
      </c>
      <c r="E4" s="79" t="s">
        <v>64</v>
      </c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</row>
    <row r="5" spans="1:18" x14ac:dyDescent="0.25">
      <c r="A5" s="1">
        <v>37622</v>
      </c>
      <c r="B5">
        <v>3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</row>
    <row r="6" spans="1:18" x14ac:dyDescent="0.25">
      <c r="A6" s="1">
        <v>37987</v>
      </c>
      <c r="B6">
        <v>3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overlap ptf</vt:lpstr>
      <vt:lpstr>FWD300.old</vt:lpstr>
      <vt:lpstr>FWD300</vt:lpstr>
      <vt:lpstr>FLI250</vt:lpstr>
      <vt:lpstr>FLI2PF 317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2024-12-20T10:35:34Z</dcterms:modified>
</cp:coreProperties>
</file>