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F9F9F77-9DB4-4209-93B7-BD7291CD8324}" xr6:coauthVersionLast="38" xr6:coauthVersionMax="38" xr10:uidLastSave="{00000000-0000-0000-0000-000000000000}"/>
  <bookViews>
    <workbookView xWindow="12240" yWindow="1980" windowWidth="21240" windowHeight="11832" tabRatio="673" firstSheet="5" activeTab="6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<sst xmlns="http://schemas.openxmlformats.org/spreadsheetml/2006/main" count="6878" uniqueCount="2737">
  <si>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</si>
  <si>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</si>
  <si>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</si>
  <si>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</si>
  <si>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</si>
  <si>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</si>
  <si>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</si>
  <si>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</si>
  <si>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</si>
  <si>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</si>
  <si>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</si>
  <si>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</si>
  <si>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</si>
  <si>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</si>
  <si>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</si>
  <si>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</si>
  <si>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</si>
  <si>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</si>
  <si>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</si>
  <si>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</si>
  <si>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</si>
  <si>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</si>
  <si>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</si>
  <si>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</si>
  <si>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</si>
  <si>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</si>
  <si>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</si>
  <si>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</si>
  <si>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</si>
  <si>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</si>
  <si>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</si>
  <si>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</si>
  <si>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</si>
  <si>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</si>
  <si>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</si>
  <si>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</si>
  <si>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</si>
  <si>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</si>
  <si>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</si>
  <si>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</si>
  <si>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</si>
  <si>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</si>
  <si>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</si>
  <si>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</si>
  <si>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</si>
  <si>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</si>
  <si>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</si>
  <si>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</si>
  <si>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</si>
  <si>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</si>
  <si>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</si>
  <si>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</si>
  <si>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</si>
  <si>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</si>
  <si>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</si>
  <si>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</si>
  <si>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</si>
  <si>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</si>
  <si>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</si>
  <si>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</si>
  <si>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</si>
  <si>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</si>
  <si>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</si>
  <si>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</si>
  <si>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</si>
  <si>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</si>
  <si>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</si>
  <si>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</si>
  <si>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</si>
  <si>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</si>
  <si>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</si>
  <si>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</si>
  <si>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</si>
  <si>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</si>
  <si>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</si>
  <si>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</si>
  <si>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</si>
  <si>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</si>
  <si>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</si>
  <si>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</si>
  <si>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</si>
  <si>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</si>
  <si>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</si>
  <si>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</si>
  <si>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</si>
  <si>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</si>
  <si>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</si>
  <si>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</si>
  <si>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</si>
  <si>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</si>
  <si>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</si>
  <si>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</si>
  <si>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</si>
  <si>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</si>
  <si>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</si>
  <si>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</si>
  <si>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</si>
  <si>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</si>
  <si>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</si>
  <si>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</si>
  <si>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</si>
  <si>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</si>
  <si>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</si>
  <si>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</si>
  <si>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</si>
  <si>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</si>
  <si>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</si>
  <si>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</si>
  <si>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</si>
  <si>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</si>
  <si>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</si>
  <si>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</si>
  <si>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</si>
  <si>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</si>
  <si>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</si>
  <si>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</si>
  <si>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</si>
  <si>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</si>
  <si>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</si>
  <si>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</si>
  <si>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</si>
  <si>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</si>
  <si>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</si>
  <si>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</si>
  <si>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</si>
  <si>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</si>
  <si>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</si>
  <si>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</si>
  <si>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</si>
  <si>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</si>
  <si>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</si>
  <si>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</si>
  <si>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</si>
  <si>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</si>
  <si>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</si>
  <si>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</si>
  <si>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</si>
  <si>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</si>
  <si>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</si>
  <si>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</si>
  <si>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</si>
  <si>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</si>
  <si>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</si>
  <si>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</si>
  <si>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</si>
  <si>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</si>
  <si>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</si>
  <si>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</si>
  <si>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</si>
  <si>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</si>
  <si>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</si>
  <si>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</si>
  <si>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</si>
  <si>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</si>
  <si>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</si>
  <si>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</si>
  <si>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</si>
  <si>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</si>
  <si>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</si>
  <si>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</si>
  <si>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</si>
  <si>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</si>
  <si>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</si>
  <si>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</si>
  <si>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</si>
  <si>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</si>
  <si>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</si>
  <si>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</si>
  <si>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</si>
  <si>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</si>
  <si>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</si>
  <si>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</si>
  <si>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</si>
  <si>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</si>
  <si>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</si>
  <si>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</si>
  <si>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</si>
  <si>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</si>
  <si>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</si>
  <si>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</si>
  <si>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</si>
  <si>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</si>
  <si>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</si>
  <si>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</si>
  <si>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</si>
  <si>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</si>
  <si>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</si>
  <si>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</si>
  <si>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</si>
  <si>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</si>
  <si>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</si>
  <si>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</si>
  <si>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</si>
  <si>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</si>
  <si>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</si>
  <si>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</si>
  <si>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</si>
  <si>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</si>
  <si>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</si>
  <si>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</si>
  <si>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</si>
  <si>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</si>
  <si>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</si>
  <si>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</si>
  <si>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</si>
  <si>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</si>
  <si>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</si>
  <si>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</si>
  <si>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</si>
  <si>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</si>
  <si>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</si>
  <si>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</si>
  <si>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</si>
  <si>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</si>
  <si>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</si>
  <si>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</si>
  <si>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</si>
  <si>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</si>
  <si>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</si>
  <si>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</si>
  <si>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</si>
  <si>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</si>
  <si>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</si>
  <si>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</si>
  <si>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</si>
  <si>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</si>
  <si>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</si>
  <si>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</si>
  <si>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</si>
  <si>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</si>
  <si>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</si>
  <si>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</si>
  <si>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</si>
  <si>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</si>
  <si>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</si>
  <si>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</si>
  <si>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</si>
  <si>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</si>
  <si>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</si>
  <si>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</si>
  <si>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</si>
  <si>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</si>
  <si>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</si>
  <si>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</si>
  <si>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</si>
  <si>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</si>
  <si>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</si>
  <si>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</si>
  <si>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</si>
  <si>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</si>
  <si>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</si>
  <si>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</si>
  <si>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</si>
  <si>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</si>
  <si>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</si>
  <si>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</si>
  <si>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</si>
  <si>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</si>
  <si>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</si>
  <si>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</si>
  <si>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</si>
  <si>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</si>
  <si>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</si>
  <si>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</si>
  <si>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</si>
  <si>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</si>
  <si>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</si>
  <si>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</si>
  <si>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</si>
  <si>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</si>
  <si>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</si>
  <si>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</si>
  <si>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</si>
  <si>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</si>
  <si>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</si>
  <si>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</si>
  <si>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</si>
  <si>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</si>
  <si>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</si>
  <si>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</si>
  <si>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</si>
  <si>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</si>
  <si>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</si>
  <si>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</si>
  <si>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</si>
  <si>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</si>
  <si>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</si>
  <si>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</si>
  <si>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</si>
  <si>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</si>
  <si>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</si>
  <si>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</si>
  <si>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</si>
  <si>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</si>
  <si>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</si>
  <si>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</si>
  <si>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</si>
  <si>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</si>
  <si>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</si>
  <si>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</si>
  <si>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</si>
  <si>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</si>
  <si>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</si>
  <si>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</si>
  <si>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</si>
  <si>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</si>
  <si>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</si>
  <si>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</si>
  <si>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</si>
  <si>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</si>
  <si>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</si>
  <si>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</si>
  <si>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</si>
  <si>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</si>
  <si>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</si>
  <si>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</si>
  <si>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</si>
  <si>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</si>
  <si>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</si>
  <si>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</si>
  <si>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</si>
  <si>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</si>
  <si>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</si>
  <si>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</si>
  <si>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</si>
  <si>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</si>
  <si>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</si>
  <si>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</si>
  <si>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</si>
  <si>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</si>
  <si>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</si>
  <si>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</si>
  <si>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</si>
  <si>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</si>
  <si>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</si>
  <si>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</si>
  <si>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</si>
  <si>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</si>
  <si>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</si>
  <si>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</si>
  <si>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</si>
  <si>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</si>
  <si>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</si>
  <si>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</si>
  <si>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</si>
  <si>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</si>
  <si>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</si>
  <si>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</si>
  <si>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</si>
  <si>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</si>
  <si>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</si>
  <si>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</si>
  <si>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</si>
  <si>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</si>
  <si>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</si>
  <si>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</si>
  <si>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</si>
  <si>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</si>
  <si>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</si>
  <si>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</si>
  <si>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</si>
  <si>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</si>
  <si>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</si>
  <si>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</si>
  <si>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</si>
  <si>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</si>
  <si>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</si>
  <si>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</si>
  <si>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</si>
  <si>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</si>
  <si>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</si>
  <si>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</si>
  <si>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</si>
  <si>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</si>
  <si>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</si>
  <si>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</si>
  <si>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</si>
  <si>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</si>
  <si>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</si>
  <si>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</si>
  <si>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</si>
  <si>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</si>
  <si>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</si>
  <si>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</si>
  <si>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</si>
  <si>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</si>
  <si>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</si>
  <si>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</si>
  <si>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</si>
  <si>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</si>
  <si>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</si>
  <si>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</si>
  <si>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</si>
  <si>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</si>
  <si>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</si>
  <si>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</si>
  <si>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</si>
  <si>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</si>
  <si>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</si>
  <si>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</si>
  <si>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</si>
  <si>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</si>
  <si>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</si>
  <si>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</si>
  <si>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</si>
  <si>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</si>
  <si>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</si>
  <si>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</si>
  <si>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</si>
  <si>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</si>
  <si>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</si>
  <si>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</si>
  <si>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</si>
  <si>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</si>
  <si>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</si>
  <si>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</si>
  <si>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</si>
  <si>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</si>
  <si>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</si>
  <si>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</si>
  <si>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</si>
  <si>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</si>
  <si>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</si>
  <si>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</si>
  <si>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</si>
  <si>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</si>
  <si>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</si>
  <si>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</si>
  <si>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</si>
  <si>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</si>
  <si>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</si>
  <si>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</si>
  <si>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</si>
  <si>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</si>
  <si>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</si>
  <si>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</si>
  <si>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</si>
  <si>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</si>
  <si>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</si>
  <si>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</si>
  <si>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</si>
  <si>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</si>
  <si>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</si>
  <si>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</si>
  <si>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</si>
  <si>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</si>
  <si>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</si>
  <si>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</si>
  <si>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</si>
  <si>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</si>
  <si>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</si>
  <si>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</si>
  <si>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</si>
  <si>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</si>
  <si>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</si>
  <si>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</si>
  <si>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</si>
  <si>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</si>
  <si>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</si>
  <si>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</si>
  <si>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</si>
  <si>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</si>
  <si>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</si>
  <si>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</si>
  <si>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</si>
  <si>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</si>
  <si>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</si>
  <si>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</si>
  <si>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</si>
  <si>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</si>
  <si>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</si>
  <si>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</si>
  <si>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</si>
  <si>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</si>
  <si>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</si>
  <si>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</si>
  <si>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</si>
  <si>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</si>
  <si>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</si>
  <si>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</si>
  <si>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</si>
  <si>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</si>
  <si>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</si>
  <si>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</si>
  <si>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</si>
  <si>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</si>
  <si>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</si>
  <si>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</si>
  <si>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</si>
  <si>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</si>
  <si>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</si>
  <si>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</si>
  <si>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</si>
  <si>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</si>
  <si>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</si>
  <si>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</si>
  <si>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</si>
  <si>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</si>
  <si>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</si>
  <si>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</si>
  <si>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</si>
  <si>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</si>
  <si>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</si>
  <si>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</si>
  <si>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</si>
  <si>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</si>
  <si>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</si>
  <si>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</si>
  <si>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</si>
  <si>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</si>
  <si>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</si>
  <si>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</si>
  <si>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</si>
  <si>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</si>
  <si>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</si>
  <si>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</si>
  <si>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</si>
  <si>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</si>
  <si>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</si>
  <si>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</si>
  <si>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</si>
  <si>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</si>
  <si>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</si>
  <si>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</si>
  <si>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</si>
  <si>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</si>
  <si>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</si>
  <si>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</si>
  <si>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</si>
  <si>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</si>
  <si>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</si>
  <si>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</si>
  <si>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</si>
  <si>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</si>
  <si>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</si>
  <si>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</si>
  <si>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</si>
  <si>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</si>
  <si>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</si>
  <si>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</si>
  <si>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</si>
  <si>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</si>
  <si>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</si>
  <si>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</si>
  <si>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</si>
  <si>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</si>
  <si>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</si>
  <si>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</si>
  <si>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</si>
  <si>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</si>
  <si>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</si>
  <si>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</si>
  <si>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</si>
  <si>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</si>
  <si>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</si>
  <si>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</si>
  <si>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</si>
  <si>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</si>
  <si>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</si>
  <si>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</si>
  <si>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</si>
  <si>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</si>
  <si>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</si>
  <si>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</si>
  <si>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</si>
  <si>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</si>
  <si>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</si>
  <si>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</si>
  <si>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</si>
  <si>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</si>
  <si>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</si>
  <si>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</si>
  <si>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</si>
  <si>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</si>
  <si>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</si>
  <si>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</si>
  <si>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</si>
  <si>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</si>
  <si>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</si>
  <si>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</si>
  <si>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</si>
  <si>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</si>
  <si>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</si>
  <si>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</si>
  <si>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</si>
  <si>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</si>
  <si>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</si>
  <si>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</si>
  <si>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</si>
  <si>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</si>
  <si>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</si>
  <si>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</si>
  <si>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</si>
  <si>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</si>
  <si>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</si>
  <si>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</si>
  <si>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</si>
  <si>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</si>
  <si>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</si>
  <si>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</si>
  <si>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</si>
  <si>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</si>
  <si>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</si>
  <si>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</si>
  <si>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</si>
  <si>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</si>
  <si>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</si>
  <si>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</si>
  <si>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</si>
  <si>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</si>
  <si>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</si>
  <si>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</si>
  <si>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</si>
  <si>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</si>
  <si>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</si>
  <si>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</si>
  <si>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</si>
  <si>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</si>
  <si>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</si>
  <si>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</si>
  <si>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</si>
  <si>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</si>
  <si>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</si>
  <si>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</si>
  <si>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</si>
  <si>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</si>
  <si>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</si>
  <si>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</si>
  <si>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</si>
  <si>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</si>
  <si>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</si>
  <si>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</si>
  <si>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</si>
  <si>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</si>
  <si>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</si>
  <si>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</si>
  <si>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</si>
  <si>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</si>
  <si>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</si>
  <si>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</si>
  <si>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</si>
  <si>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</si>
  <si>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</si>
  <si>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</si>
  <si>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</si>
  <si>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</si>
  <si>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</si>
  <si>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</si>
  <si>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</si>
  <si>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</si>
  <si>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</si>
  <si>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</si>
  <si>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</si>
  <si>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</si>
  <si>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</si>
  <si>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</si>
  <si>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</si>
  <si>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</si>
  <si>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</si>
  <si>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</si>
  <si>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</si>
  <si>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</si>
  <si>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</si>
  <si>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</si>
  <si>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</si>
  <si>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</si>
  <si>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</si>
  <si>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</si>
  <si>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</si>
  <si>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</si>
  <si>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</si>
  <si>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</si>
  <si>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</si>
  <si>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</si>
  <si>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</si>
  <si>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</si>
  <si>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</si>
  <si>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</si>
  <si>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</si>
  <si>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</si>
  <si>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</si>
  <si>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</si>
  <si>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</si>
  <si>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</si>
  <si>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</si>
  <si>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</si>
  <si>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</si>
  <si>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</si>
  <si>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</si>
  <si>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</si>
  <si>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</si>
  <si>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</si>
  <si>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</si>
  <si>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</si>
  <si>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</si>
  <si>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</si>
  <si>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</si>
  <si>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</si>
  <si>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</si>
  <si>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</si>
  <si>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</si>
  <si>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</si>
  <si>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</si>
  <si>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</si>
  <si>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</si>
  <si>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</si>
  <si>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</si>
  <si>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</si>
  <si>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</si>
  <si>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</si>
  <si>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</si>
  <si>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</si>
  <si>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</si>
  <si>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</si>
  <si>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</si>
  <si>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</si>
  <si>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</si>
  <si>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</si>
  <si>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</si>
  <si>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</si>
  <si>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</si>
  <si>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</si>
  <si>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</si>
  <si>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</si>
  <si>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</si>
  <si>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</si>
  <si>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</si>
  <si>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</si>
  <si>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</si>
  <si>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</si>
  <si>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</si>
  <si>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</si>
  <si>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</si>
  <si>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</si>
  <si>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</si>
  <si>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</si>
  <si>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</si>
  <si>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</si>
  <si>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</si>
  <si>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</si>
  <si>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</si>
  <si>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</si>
  <si>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</si>
  <si>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</si>
  <si>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</si>
  <si>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</si>
  <si>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</si>
  <si>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</si>
  <si>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</si>
  <si>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</si>
  <si>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</si>
  <si>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</si>
  <si>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</si>
  <si>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</si>
  <si>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</si>
  <si>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</si>
  <si>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</si>
  <si>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</si>
  <si>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</si>
  <si>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</si>
  <si>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</si>
  <si>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</si>
  <si>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</si>
  <si>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</si>
  <si>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</si>
  <si>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</si>
  <si>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</si>
  <si>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</si>
  <si>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</si>
  <si>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</si>
  <si>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</si>
  <si>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</si>
  <si>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</si>
  <si>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</si>
  <si>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</si>
  <si>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</si>
  <si>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</si>
  <si>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</si>
  <si>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</si>
  <si>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</si>
  <si>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</si>
  <si>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</si>
  <si>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</si>
  <si>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</si>
  <si>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</si>
  <si>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</si>
  <si>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</si>
  <si>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</si>
  <si>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</si>
  <si>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</si>
  <si>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</si>
  <si>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</si>
  <si>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</si>
  <si>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</si>
  <si>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</si>
  <si>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</si>
  <si>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</si>
  <si>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</si>
  <si>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</si>
  <si>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</si>
  <si>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</si>
  <si>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</si>
  <si>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</si>
  <si>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</si>
  <si>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</si>
  <si>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</si>
  <si>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</si>
  <si>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</si>
  <si>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</si>
  <si>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</si>
  <si>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</si>
  <si>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</si>
  <si>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</si>
  <si>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</si>
  <si>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</si>
  <si>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</si>
  <si>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</si>
  <si>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</si>
  <si>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</si>
  <si>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</si>
  <si>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</si>
  <si>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</si>
  <si>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</si>
  <si>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</si>
  <si>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</si>
  <si>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</si>
  <si>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</si>
  <si>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</si>
  <si>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</si>
  <si>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</si>
  <si>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</si>
  <si>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</si>
  <si>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</si>
  <si>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</si>
  <si>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</si>
  <si>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</si>
  <si>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</si>
  <si>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</si>
  <si>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</si>
  <si>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</si>
  <si>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</si>
  <si>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</si>
  <si>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</si>
  <si>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</si>
  <si>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</si>
  <si>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</si>
  <si>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</si>
  <si>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</si>
  <si>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</si>
  <si>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</si>
  <si>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</si>
  <si>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</si>
  <si>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</si>
  <si>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</si>
  <si>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</si>
  <si>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</si>
  <si>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</si>
  <si>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</si>
  <si>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</si>
  <si>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</si>
  <si>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</si>
  <si>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</si>
  <si>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</si>
  <si>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</si>
  <si>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</si>
  <si>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</si>
  <si>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</si>
  <si>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</si>
  <si>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</si>
  <si>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</si>
  <si>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</si>
  <si>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</si>
  <si>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</si>
  <si>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</si>
  <si>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</si>
  <si>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</si>
  <si>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</si>
  <si>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</si>
  <si>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</si>
  <si>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</si>
  <si>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</si>
  <si>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</si>
  <si>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</si>
  <si>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</si>
  <si>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</si>
  <si>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</si>
  <si>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</si>
  <si>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</si>
  <si>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</si>
  <si>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</si>
  <si>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</si>
  <si>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</si>
  <si>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</si>
  <si>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</si>
  <si>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</si>
  <si>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</si>
  <si>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</si>
  <si>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</si>
  <si>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</si>
  <si>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</si>
  <si>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</si>
  <si>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</si>
  <si>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</si>
  <si>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</si>
  <si>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</si>
  <si>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</si>
  <si>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</si>
  <si>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</si>
  <si>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</si>
  <si>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</si>
  <si>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</si>
  <si>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</si>
  <si>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</si>
  <si>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</si>
  <si>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</si>
  <si>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</si>
  <si>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</si>
  <si>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</si>
  <si>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</si>
  <si>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</si>
  <si>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</si>
  <si>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</si>
  <si>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</si>
  <si>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</si>
  <si>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</si>
  <si>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</si>
  <si>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</si>
  <si>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</si>
  <si>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</si>
  <si>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</si>
  <si>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</si>
  <si>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</si>
  <si>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</si>
  <si>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</si>
  <si>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</si>
  <si>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</si>
  <si>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</si>
  <si>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</si>
  <si>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</si>
  <si>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</si>
  <si>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</si>
  <si>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</si>
  <si>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</si>
  <si>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</si>
  <si>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</si>
  <si>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</si>
  <si>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</si>
  <si>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</si>
  <si>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</si>
  <si>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</si>
  <si>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</si>
  <si>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</si>
  <si>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</si>
  <si>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</si>
  <si>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</si>
  <si>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</si>
  <si>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</si>
  <si>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</si>
  <si>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</si>
  <si>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</si>
  <si>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</si>
  <si>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</si>
  <si>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</si>
  <si>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</si>
  <si>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</si>
  <si>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</si>
  <si>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</si>
  <si>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</si>
  <si>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</si>
  <si>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</si>
  <si>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</si>
  <si>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</si>
  <si>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</si>
  <si>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</si>
  <si>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</si>
  <si>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</si>
  <si>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</si>
  <si>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</si>
  <si>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</si>
  <si>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</si>
  <si>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</si>
  <si>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</si>
  <si>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</si>
  <si>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</si>
  <si>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</si>
  <si>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</si>
  <si>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</si>
  <si>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</si>
  <si>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</si>
  <si>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</si>
  <si>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</si>
  <si>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</si>
  <si>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</si>
  <si>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</si>
  <si>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</si>
  <si>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</si>
  <si>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</si>
  <si>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</si>
  <si>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</si>
  <si>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</si>
  <si>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</si>
  <si>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</si>
  <si>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</si>
  <si>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</si>
  <si>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</si>
  <si>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</si>
  <si>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</si>
  <si>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</si>
  <si>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</si>
  <si>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</si>
  <si>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</si>
  <si>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</si>
  <si>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</si>
  <si>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</si>
  <si>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</si>
  <si>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</si>
  <si>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</si>
  <si>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</si>
  <si>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</si>
  <si>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</si>
  <si>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</si>
  <si>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</si>
  <si>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</si>
  <si>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</si>
  <si>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</si>
  <si>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</si>
  <si>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</si>
  <si>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</si>
  <si>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</si>
  <si>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</si>
  <si>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</si>
  <si>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</si>
  <si>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</si>
  <si>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</si>
  <si>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</si>
  <si>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</si>
  <si>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</si>
  <si>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</si>
  <si>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</si>
  <si>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</si>
  <si>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</si>
  <si>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</si>
  <si>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</si>
  <si>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</si>
  <si>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</si>
  <si>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</si>
  <si>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</si>
  <si>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</si>
  <si>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</si>
  <si>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</si>
  <si>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</si>
  <si>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</si>
  <si>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</si>
  <si>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</si>
  <si>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</si>
  <si>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</si>
  <si>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</si>
  <si>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</si>
  <si>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</si>
  <si>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</si>
  <si>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</si>
  <si>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</si>
  <si>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</si>
  <si>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</si>
  <si>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</si>
  <si>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</si>
  <si>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</si>
  <si>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</si>
  <si>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</si>
  <si>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</si>
  <si>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</si>
  <si>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</si>
  <si>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</si>
  <si>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</si>
  <si>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</si>
  <si>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</si>
  <si>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</si>
  <si>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</si>
  <si>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</si>
  <si>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</si>
  <si>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</si>
  <si>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</si>
  <si>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</si>
  <si>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</si>
  <si>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</si>
  <si>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</si>
  <si>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</si>
  <si>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</si>
  <si>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</si>
  <si>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</si>
  <si>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</si>
  <si>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</si>
  <si>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</si>
  <si>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</si>
  <si>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</si>
  <si>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</si>
  <si>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</si>
  <si>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</si>
  <si>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</si>
  <si>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</si>
  <si>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</si>
  <si>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</si>
  <si>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</si>
  <si>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</si>
  <si>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</si>
  <si>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</si>
  <si>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</si>
  <si>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</si>
  <si>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</si>
  <si>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</si>
  <si>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</si>
  <si>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</si>
  <si>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</si>
  <si>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</si>
  <si>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</si>
  <si>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</si>
  <si>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</si>
  <si>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</si>
  <si>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</si>
  <si>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</si>
  <si>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</si>
  <si>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</si>
  <si>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</si>
  <si>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</si>
  <si>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</si>
  <si>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</si>
  <si>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</si>
  <si>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</si>
  <si>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</si>
  <si>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</si>
  <si>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</si>
  <si>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</si>
  <si>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</si>
  <si>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</si>
  <si>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</si>
  <si>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</si>
  <si>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</si>
  <si>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</si>
  <si>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</si>
  <si>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</si>
  <si>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</si>
  <si>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</si>
  <si>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</si>
  <si>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</si>
  <si>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</si>
  <si>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</si>
  <si>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</si>
  <si>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</si>
  <si>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</si>
  <si>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</si>
  <si>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</si>
  <si>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</si>
  <si>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</si>
  <si>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</si>
  <si>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</si>
  <si>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</si>
  <si>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</si>
  <si>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</si>
  <si>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</si>
  <si>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</si>
  <si>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</si>
  <si>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</si>
  <si>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</si>
  <si>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</si>
  <si>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</si>
  <si>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</si>
  <si>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</si>
  <si>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</si>
  <si>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</si>
  <si>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</si>
  <si>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</si>
  <si>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</si>
  <si>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</si>
  <si>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</si>
  <si>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</si>
  <si>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</si>
  <si>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</si>
  <si>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</si>
  <si>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</si>
  <si>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</si>
  <si>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</si>
  <si>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</si>
  <si>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</si>
  <si>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</si>
  <si>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</si>
  <si>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</si>
  <si>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</si>
  <si>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</si>
  <si>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</si>
  <si>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</si>
  <si>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</si>
  <si>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</si>
  <si>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</si>
  <si>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</si>
  <si>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</si>
  <si>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</si>
  <si>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</si>
  <si>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</si>
  <si>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</si>
  <si>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</si>
  <si>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</si>
  <si>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</si>
  <si>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</si>
  <si>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</si>
  <si>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</si>
  <si>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</si>
  <si>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</si>
  <si>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</si>
  <si>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</si>
  <si>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</si>
  <si>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</si>
  <si>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</si>
  <si>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</si>
  <si>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</si>
  <si>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</si>
  <si>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</si>
  <si>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</si>
  <si>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</si>
  <si>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</si>
  <si>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</si>
  <si>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</si>
  <si>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</si>
  <si>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</si>
  <si>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</si>
  <si>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</si>
  <si>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</si>
  <si>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</si>
  <si>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</si>
  <si>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</si>
  <si>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</si>
  <si>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</si>
  <si>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</si>
  <si>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</si>
  <si>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</si>
  <si>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</si>
  <si>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</si>
  <si>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</si>
  <si>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</si>
  <si>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</si>
  <si>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</si>
  <si>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</si>
  <si>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</si>
  <si>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</si>
  <si>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</si>
  <si>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</si>
  <si>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</si>
  <si>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</si>
  <si>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</si>
  <si>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</si>
  <si>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</si>
  <si>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</si>
  <si>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</si>
  <si>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</si>
  <si>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</si>
  <si>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</si>
  <si>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</si>
  <si>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</si>
  <si>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</si>
  <si>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</si>
  <si>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</si>
  <si>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</si>
  <si>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</si>
  <si>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</si>
  <si>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</si>
  <si>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</si>
  <si>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</si>
  <si>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</si>
  <si>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</si>
  <si>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</si>
  <si>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</si>
  <si>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</si>
  <si>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</si>
  <si>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</si>
  <si>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</si>
  <si>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</si>
  <si>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</si>
  <si>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</si>
  <si>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</si>
  <si>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</si>
  <si>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</si>
  <si>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</si>
  <si>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</si>
  <si>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</si>
  <si>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</si>
  <si>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</si>
  <si>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</si>
  <si>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</si>
  <si>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</si>
  <si>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</si>
  <si>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</si>
  <si>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</si>
  <si>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</si>
  <si>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</si>
  <si>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</si>
  <si>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</si>
  <si>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</si>
  <si>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</si>
  <si>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</si>
  <si>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</si>
  <si>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</si>
  <si>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</si>
  <si>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</si>
  <si>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</si>
  <si>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</si>
  <si>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</si>
  <si>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</si>
  <si>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</si>
  <si>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</si>
  <si>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</si>
  <si>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</si>
  <si>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</si>
  <si>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</si>
  <si>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</si>
  <si>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</si>
  <si>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</si>
  <si>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</si>
  <si>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</si>
  <si>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</si>
  <si>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</si>
  <si>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</si>
  <si>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</si>
  <si>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</si>
  <si>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</si>
  <si>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</si>
  <si>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</si>
  <si>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</si>
  <si>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</si>
  <si>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</si>
  <si>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</si>
  <si>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</si>
  <si>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</si>
  <si>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</si>
  <si>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</si>
  <si>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</si>
  <si>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</si>
  <si>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</si>
  <si>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</si>
  <si>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</si>
  <si>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</si>
  <si>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</si>
  <si>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</si>
  <si>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</si>
  <si>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</si>
  <si>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</si>
  <si>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</si>
  <si>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</si>
  <si>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</si>
  <si>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</si>
  <si>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</si>
  <si>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</si>
  <si>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</si>
  <si>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</si>
  <si>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</si>
  <si>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</si>
  <si>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</si>
  <si>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</si>
  <si>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</si>
  <si>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</si>
  <si>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</si>
  <si>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</si>
  <si>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</si>
  <si>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</si>
  <si>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</si>
  <si>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</si>
  <si>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</si>
  <si>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</si>
  <si>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</si>
  <si>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</si>
  <si>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</si>
  <si>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</si>
  <si>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</si>
  <si>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</si>
  <si>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</si>
  <si>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</si>
  <si>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</si>
  <si>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</si>
  <si>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</si>
  <si>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</si>
  <si>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</si>
  <si>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</si>
  <si>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</si>
  <si>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</si>
  <si>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</si>
  <si>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</si>
  <si>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</si>
  <si>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</si>
  <si>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</si>
  <si>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</si>
  <si>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</si>
  <si>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</si>
  <si>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</si>
  <si>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</si>
  <si>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</si>
  <si>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</si>
  <si>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</si>
  <si>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</si>
  <si>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</si>
  <si>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</si>
  <si>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</si>
  <si>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</si>
  <si>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</si>
  <si>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</si>
  <si>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</si>
  <si>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</si>
  <si>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</si>
  <si>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</si>
  <si>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</si>
  <si>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</si>
  <si>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</si>
  <si>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</si>
  <si>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</si>
  <si>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</si>
  <si>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</si>
  <si>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</si>
  <si>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</si>
  <si>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</si>
  <si>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</si>
  <si>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</si>
  <si>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</si>
  <si>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</si>
  <si>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</si>
  <si>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</si>
  <si>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</si>
  <si>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</si>
  <si>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</si>
  <si>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</si>
  <si>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</si>
  <si>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</si>
  <si>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</si>
  <si>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</si>
  <si>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</si>
  <si>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</si>
  <si>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</si>
  <si>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</si>
  <si>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</si>
  <si>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</si>
  <si>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</si>
  <si>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</si>
  <si>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</si>
  <si>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</si>
  <si>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</si>
  <si>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</si>
  <si>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</si>
  <si>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</si>
  <si>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</si>
  <si>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</si>
  <si>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</si>
  <si>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</si>
  <si>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</si>
  <si>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</si>
  <si>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</si>
  <si>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</si>
  <si>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</si>
  <si>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</si>
  <si>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</si>
  <si>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</si>
  <si>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</si>
  <si>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</si>
  <si>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</si>
  <si>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</si>
  <si>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</si>
  <si>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</si>
  <si>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</si>
  <si>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</si>
  <si>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</si>
  <si>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</si>
  <si>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</si>
  <si>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</si>
  <si>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</si>
  <si>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</si>
  <si>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</si>
  <si>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</si>
  <si>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</si>
  <si>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</si>
  <si>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</si>
  <si>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</si>
  <si>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</si>
  <si>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</si>
  <si>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</si>
  <si>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</si>
  <si>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</si>
  <si>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</si>
  <si>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</si>
  <si>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</si>
  <si>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</si>
  <si>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</si>
  <si>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</si>
  <si>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</si>
  <si>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</si>
  <si>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</si>
  <si>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</si>
  <si>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</si>
  <si>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</si>
  <si>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</si>
  <si>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</si>
  <si>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</si>
  <si>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</si>
  <si>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</si>
  <si>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</si>
  <si>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</si>
  <si>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</si>
  <si>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</si>
  <si>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</si>
  <si>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</si>
  <si>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</si>
  <si>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</si>
  <si>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</si>
  <si>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</si>
  <si>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</si>
  <si>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</si>
  <si>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</si>
  <si>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</si>
  <si>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</si>
  <si>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</si>
  <si>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</si>
  <si>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</si>
  <si>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</si>
  <si>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</si>
  <si>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</si>
  <si>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</si>
  <si>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</si>
  <si>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</si>
  <si>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</si>
  <si>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</si>
  <si>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</si>
  <si>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</si>
  <si>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</si>
  <si>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</si>
  <si>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</si>
  <si>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</si>
  <si>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</si>
  <si>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</si>
  <si>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</si>
  <si>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</si>
  <si>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</si>
  <si>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</si>
  <si>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</si>
  <si>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</si>
  <si>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</si>
  <si>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</si>
  <si>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</si>
  <si>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</si>
  <si>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</si>
  <si>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</si>
  <si>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</si>
  <si>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</si>
  <si>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</si>
  <si>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</si>
  <si>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</si>
  <si>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</si>
  <si>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</si>
  <si>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</si>
  <si>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</si>
  <si>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</si>
  <si>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</si>
  <si>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</si>
  <si>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</si>
  <si>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</si>
  <si>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</si>
  <si>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</si>
  <si>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</si>
  <si>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</si>
  <si>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</si>
  <si>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</si>
  <si>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</si>
  <si>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</si>
  <si>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</si>
  <si>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</si>
  <si>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</si>
  <si>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</si>
  <si>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</si>
  <si>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</si>
  <si>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</si>
  <si>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</si>
  <si>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</si>
  <si>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</si>
  <si>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</si>
  <si>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</si>
  <si>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</si>
  <si>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</si>
  <si>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</si>
  <si>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</si>
  <si>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</si>
  <si>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</si>
  <si>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</si>
  <si>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</si>
  <si>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</si>
  <si>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</si>
  <si>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</si>
  <si>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</si>
  <si>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</si>
  <si>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</si>
  <si>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</si>
  <si>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</si>
  <si>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</si>
  <si>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</si>
  <si>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</si>
  <si>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</si>
  <si>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</si>
  <si>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</si>
  <si>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</si>
  <si>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</si>
  <si>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</si>
  <si>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</si>
  <si>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</si>
  <si>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</si>
  <si>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</si>
  <si>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</si>
  <si>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</si>
  <si>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</si>
  <si>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</si>
  <si>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</si>
  <si>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</si>
  <si>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</si>
  <si>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</si>
  <si>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</si>
  <si>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</si>
  <si>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</si>
  <si>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</si>
  <si>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</si>
  <si>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</si>
  <si>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</si>
  <si>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</si>
  <si>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</si>
  <si>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</si>
  <si>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</si>
  <si>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</si>
  <si>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</si>
  <si>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</si>
  <si>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</si>
  <si>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</si>
  <si>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</si>
  <si>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</si>
  <si>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</si>
  <si>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</si>
  <si>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</si>
  <si>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</si>
  <si>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</si>
  <si>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</si>
  <si>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</si>
  <si>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</si>
  <si>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</si>
  <si>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</si>
  <si>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</si>
  <si>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</si>
  <si>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</si>
  <si>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</si>
  <si>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</si>
  <si>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</si>
  <si>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</si>
  <si>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</si>
  <si>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</si>
  <si>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</si>
  <si>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</si>
  <si>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</si>
  <si>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</si>
  <si>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</si>
  <si>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</si>
  <si>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</si>
  <si>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</si>
  <si>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</si>
  <si>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</si>
  <si>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</si>
  <si>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</si>
  <si>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</si>
  <si>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</si>
  <si>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</si>
  <si>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</si>
  <si>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</si>
  <si>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</si>
  <si>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</si>
  <si>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</si>
  <si>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</si>
  <si>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</si>
  <si>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</si>
  <si>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</si>
  <si>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</si>
  <si>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</si>
  <si>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</si>
  <si>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</si>
  <si>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</si>
  <si>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</si>
  <si>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</si>
  <si>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</si>
  <si>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</si>
  <si>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</si>
  <si>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</si>
  <si>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</si>
  <si>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</si>
  <si>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</si>
  <si>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</si>
  <si>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</si>
  <si>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</si>
  <si>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</si>
  <si>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</si>
  <si>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</si>
  <si>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</si>
  <si>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</si>
  <si>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</si>
  <si>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</si>
  <si>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</si>
  <si>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</si>
  <si>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</si>
  <si>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</si>
  <si>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</si>
  <si>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</si>
  <si>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</si>
  <si>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</si>
  <si>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</si>
  <si>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</si>
  <si>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</si>
  <si>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</si>
  <si>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</si>
  <si>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</si>
  <si>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</si>
  <si>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</si>
  <si>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</si>
  <si>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</si>
  <si>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</si>
  <si>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</si>
  <si>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</si>
  <si>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</si>
  <si>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</si>
  <si>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</si>
  <si>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</si>
  <si>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</si>
  <si>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</si>
  <si>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</si>
  <si>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</si>
  <si>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</si>
  <si>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</si>
  <si>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</si>
  <si>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</si>
  <si>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</si>
  <si>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</si>
  <si>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</si>
  <si>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</si>
  <si>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</si>
  <si>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</si>
  <si>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</si>
  <si>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</si>
  <si>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</si>
  <si>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</si>
  <si>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</si>
  <si>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</si>
  <si>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</si>
  <si>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</si>
  <si>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</si>
  <si>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</si>
  <si>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</si>
  <si>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</si>
  <si>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</si>
  <si>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</si>
  <si>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</si>
  <si>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</si>
  <si>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</si>
  <si>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</si>
  <si>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</si>
  <si>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</si>
  <si>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</si>
  <si>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</si>
  <si>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</si>
  <si>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</si>
  <si>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</si>
  <si>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</si>
  <si>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</si>
  <si>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</si>
  <si>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</si>
  <si>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</si>
  <si>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</si>
  <si>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</si>
  <si>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</si>
  <si>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</si>
  <si>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</si>
  <si>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</si>
  <si>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</si>
  <si>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</si>
  <si>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</si>
  <si>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</si>
  <si>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</si>
  <si>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</si>
  <si>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</si>
  <si>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</si>
  <si>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</si>
  <si>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</si>
  <si>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</si>
  <si>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</si>
  <si>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</si>
  <si>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</si>
  <si>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</si>
  <si>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</si>
  <si>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</si>
  <si>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</si>
  <si>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</si>
  <si>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</si>
  <si>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</si>
  <si>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</si>
  <si>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</si>
  <si>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</si>
  <si>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</si>
  <si>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</si>
  <si>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</si>
  <si>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</si>
  <si>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</si>
  <si>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</si>
  <si>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</si>
  <si>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</si>
  <si>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</si>
  <si>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</si>
  <si>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</si>
  <si>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</si>
  <si>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</si>
  <si>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</si>
  <si>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</si>
  <si>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</si>
  <si>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</si>
  <si>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</si>
  <si>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</si>
  <si>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</si>
  <si>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</si>
  <si>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</si>
  <si>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</si>
  <si>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</si>
  <si>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</si>
  <si>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</si>
  <si>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</si>
  <si>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</si>
  <si>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</si>
  <si>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</si>
  <si>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</si>
  <si>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</si>
  <si>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</si>
  <si>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</si>
  <si>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</si>
  <si>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</si>
  <si>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</si>
  <si>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</si>
  <si>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</si>
  <si>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</si>
  <si>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</si>
  <si>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</si>
  <si>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</si>
  <si>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</si>
  <si>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</si>
  <si>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</si>
  <si>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</si>
  <si>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</si>
  <si>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</si>
  <si>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</si>
  <si>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</si>
  <si>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</si>
  <si>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</si>
  <si>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</si>
  <si>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</si>
  <si>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</si>
  <si>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</si>
  <si>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</si>
  <si>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</si>
  <si>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</si>
  <si>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</si>
  <si>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</si>
  <si>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</si>
  <si>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</si>
  <si>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</si>
  <si>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</si>
  <si>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</si>
  <si>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</si>
  <si>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</si>
  <si>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</si>
  <si>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</si>
  <si>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</si>
  <si>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</si>
  <si>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</si>
  <si>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</si>
  <si>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</si>
  <si>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</si>
  <si>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</si>
  <si>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</si>
  <si>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</si>
  <si>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</si>
  <si>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</si>
  <si>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</si>
  <si>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</si>
  <si>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</si>
  <si>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</si>
  <si>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</si>
  <si>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</si>
  <si>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</si>
  <si>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</si>
  <si>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</si>
  <si>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</si>
  <si>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</si>
  <si>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</si>
  <si>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</si>
  <si>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</si>
  <si>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</si>
  <si>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</si>
  <si>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</si>
  <si>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</si>
  <si>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</si>
  <si>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</si>
  <si>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</si>
  <si>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</si>
  <si>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</si>
  <si>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</si>
  <si>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</si>
  <si>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</si>
  <si>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</si>
  <si>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</si>
  <si>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</si>
  <si>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</si>
  <si>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</si>
  <si>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</si>
  <si>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</si>
  <si>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</si>
  <si>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</si>
  <si>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</si>
  <si>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</si>
  <si>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</si>
  <si>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</si>
  <si>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</si>
  <si>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</si>
  <si>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</si>
  <si>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</si>
  <si>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</si>
  <si>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</si>
  <si>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</si>
  <si>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</si>
  <si>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</si>
  <si>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</si>
  <si>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</si>
  <si>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</si>
  <si>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</si>
  <si>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</si>
  <si>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</si>
  <si>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</si>
  <si>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</si>
  <si>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</si>
  <si>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</si>
  <si>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</si>
  <si>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</si>
  <si>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</si>
  <si>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</si>
  <si>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</si>
  <si>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</si>
  <si>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</si>
  <si>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</si>
  <si>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</si>
  <si>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</si>
  <si>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</si>
  <si>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</si>
  <si>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</si>
  <si>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</si>
  <si>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</si>
  <si>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</si>
  <si>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</si>
  <si>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</si>
  <si>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</si>
  <si>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</si>
  <si>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</si>
  <si>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</si>
  <si>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</si>
  <si>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</si>
  <si>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</si>
  <si>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</si>
  <si>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</si>
  <si>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</si>
  <si>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</si>
  <si>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</si>
  <si>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</si>
  <si>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</si>
  <si>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</si>
  <si>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</si>
  <si>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</si>
  <si>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</si>
  <si>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</si>
  <si>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</si>
  <si>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</si>
  <si>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</si>
  <si>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</si>
  <si>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</si>
  <si>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</si>
  <si>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</si>
  <si>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</si>
  <si>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</si>
  <si>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</si>
  <si>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</si>
  <si>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</si>
  <si>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</si>
  <si>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</si>
  <si>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</si>
  <si>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</si>
  <si>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</si>
  <si>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</si>
  <si>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</si>
  <si>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</si>
  <si>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</si>
  <si>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</si>
  <si>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</si>
  <si>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</si>
  <si>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</si>
  <si>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</si>
  <si>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</si>
  <si>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</si>
  <si>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</si>
  <si>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</si>
  <si>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</si>
  <si>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</si>
  <si>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</si>
  <si>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</si>
  <si>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</si>
  <si>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</si>
  <si>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</si>
  <si>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</si>
  <si>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</si>
  <si>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</si>
  <si>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</si>
  <si>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</si>
  <si>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</si>
  <si>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</si>
  <si>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</si>
  <si>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</si>
  <si>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</si>
  <si>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</si>
  <si>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</si>
  <si>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</si>
  <si>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</si>
  <si>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</si>
  <si>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</si>
  <si>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</si>
  <si>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</si>
  <si>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</si>
  <si>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</si>
  <si>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</si>
  <si>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</si>
  <si>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</si>
  <si>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</si>
  <si>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</si>
  <si>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</si>
  <si>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</si>
  <si>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</si>
  <si>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</si>
  <si>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</si>
  <si>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</si>
  <si>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</si>
  <si>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</si>
  <si>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</si>
  <si>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</si>
  <si>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</si>
  <si>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</si>
  <si>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</si>
  <si>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</si>
  <si>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</si>
  <si>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</si>
  <si>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</si>
  <si>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</si>
  <si>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</si>
  <si>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</si>
  <si>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</si>
  <si>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</si>
  <si>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</si>
  <si>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</si>
  <si>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</si>
  <si>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</si>
  <si>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</si>
  <si>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</si>
  <si>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</si>
  <si>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</si>
  <si>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</si>
  <si>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</si>
  <si>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</si>
  <si>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</si>
  <si>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</si>
  <si>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</si>
  <si>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</si>
  <si>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</si>
  <si>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</si>
  <si>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</si>
  <si>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</si>
  <si>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</si>
  <si>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</si>
  <si>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</si>
  <si>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</si>
  <si>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</si>
  <si>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</si>
  <si>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</si>
  <si>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</si>
  <si>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</si>
  <si>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</si>
  <si>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</si>
  <si>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</si>
  <si>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</si>
  <si>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</si>
  <si>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</si>
  <si>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</si>
  <si>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</si>
  <si>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</si>
  <si>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</si>
  <si>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</si>
  <si>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</si>
  <si>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</si>
  <si>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</si>
  <si>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</si>
  <si>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</si>
  <si>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</si>
  <si>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</si>
  <si>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</si>
  <si>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</si>
  <si>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</si>
  <si>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</si>
  <si>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</si>
  <si>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</si>
  <si>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</si>
  <si>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</si>
  <si>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</si>
  <si>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</si>
  <si>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</si>
  <si>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</si>
  <si>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</si>
  <si>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</si>
  <si>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</si>
  <si>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</si>
  <si>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</si>
  <si>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</si>
  <si>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</si>
  <si>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</si>
  <si>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</si>
  <si>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</si>
  <si>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</si>
  <si>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</si>
  <si>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</si>
  <si>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</si>
  <si>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</si>
  <si>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</si>
  <si>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</si>
  <si>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</si>
  <si>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</si>
  <si>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</si>
  <si>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</si>
  <si>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</si>
  <si>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</si>
  <si>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</si>
  <si>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</si>
  <si>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</si>
  <si>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</si>
  <si>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</si>
  <si>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</si>
  <si>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</si>
  <si>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</si>
  <si>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</si>
  <si>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</si>
  <si>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</si>
  <si>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</si>
  <si>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</si>
  <si>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</si>
  <si>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</si>
  <si>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</si>
  <si>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</si>
  <si>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</si>
  <si>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</si>
  <si>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</si>
  <si>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</si>
  <si>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</si>
  <si>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</si>
  <si>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</si>
  <si>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</si>
  <si>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</si>
  <si>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</si>
  <si>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</si>
  <si>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</si>
  <si>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</si>
  <si>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</si>
  <si>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</si>
  <si>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</si>
  <si>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</si>
  <si>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</si>
  <si>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</si>
  <si>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</si>
  <si>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</si>
  <si>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</si>
  <si>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</si>
  <si>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</si>
  <si>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</si>
  <si>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</si>
  <si>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</si>
  <si>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</si>
  <si>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</si>
  <si>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</si>
  <si>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</si>
  <si>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</si>
  <si>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</si>
  <si>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</si>
  <si>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</si>
  <si>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</si>
  <si>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</si>
  <si>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</si>
  <si>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</si>
  <si>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</si>
  <si>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</si>
  <si>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</si>
  <si>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</si>
  <si>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</si>
  <si>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</si>
  <si>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</si>
  <si>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</si>
  <si>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</si>
  <si>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</si>
  <si>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</si>
  <si>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</si>
  <si>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</si>
  <si>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</si>
  <si>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</si>
  <si>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</si>
  <si>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</si>
  <si>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</si>
  <si>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</si>
  <si>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</si>
  <si>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</si>
  <si>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</si>
  <si>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</si>
  <si>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</si>
  <si>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</si>
  <si>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</si>
  <si>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</si>
  <si>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</si>
  <si>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</si>
  <si>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</si>
  <si>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</si>
  <si>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</si>
  <si>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</si>
  <si>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</si>
  <si>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</si>
  <si>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</si>
  <si>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</si>
  <si>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</si>
  <si>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</si>
  <si>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</si>
  <si>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</si>
  <si>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</si>
  <si>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</si>
  <si>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</si>
  <si>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</si>
  <si>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</si>
  <si>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</si>
  <si>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</si>
  <si>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</si>
  <si>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</si>
  <si>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</si>
  <si>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</si>
  <si>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</si>
  <si>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</si>
  <si>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</si>
  <si>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</si>
  <si>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</si>
  <si>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</si>
  <si>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</si>
  <si>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</si>
  <si>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</si>
  <si>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</si>
  <si>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</si>
  <si>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</si>
  <si>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</si>
  <si>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</si>
  <si>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</si>
  <si>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</si>
  <si>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</si>
  <si>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</si>
  <si>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</si>
  <si>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</si>
  <si>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</si>
  <si>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</si>
  <si>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</si>
  <si>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</si>
  <si>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</si>
  <si>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</si>
  <si>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</si>
  <si>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</si>
  <si>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</si>
  <si>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</si>
  <si>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</si>
  <si>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</si>
  <si>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</si>
  <si>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</si>
  <si>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</si>
  <si>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</si>
  <si>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</si>
  <si>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</si>
  <si>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</si>
  <si>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</si>
  <si>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</si>
  <si>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</si>
  <si>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</si>
  <si>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</si>
  <si>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</si>
  <si>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</si>
  <si>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</si>
  <si>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</si>
  <si>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</si>
  <si>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</si>
  <si>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</si>
  <si>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</si>
  <si>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</si>
  <si>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</si>
  <si>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</si>
  <si>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</si>
  <si>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</si>
  <si>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</si>
  <si>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</si>
  <si>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</si>
  <si>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</si>
  <si>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</si>
  <si>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</si>
  <si>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</si>
  <si>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</si>
  <si>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</si>
  <si>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</si>
  <si>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</si>
  <si>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</si>
  <si>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</si>
  <si>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</si>
  <si>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</si>
  <si>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</si>
  <si>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</si>
  <si>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</si>
  <si>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</si>
  <si>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</si>
  <si>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</si>
  <si>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</si>
  <si>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</si>
  <si>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</si>
  <si>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</si>
  <si>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</si>
  <si>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</si>
  <si>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</si>
  <si>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</si>
  <si>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</si>
  <si>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</si>
  <si>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</si>
  <si>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</si>
  <si>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</si>
  <si>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</si>
  <si>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</si>
  <si>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</si>
  <si>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</si>
  <si>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</si>
  <si>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</si>
  <si>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</si>
  <si>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</si>
  <si>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</si>
  <si>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</si>
  <si>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</si>
  <si>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</si>
  <si>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</si>
  <si>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</si>
  <si>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</si>
  <si>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</si>
  <si>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</si>
  <si>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</si>
  <si>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</si>
  <si>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</si>
  <si>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</si>
  <si>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</si>
  <si>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</si>
  <si>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</si>
  <si>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</si>
  <si>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</si>
  <si>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</si>
  <si>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</si>
  <si>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</si>
  <si>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</si>
  <si>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</si>
  <si>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</si>
  <si>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</si>
  <si>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</si>
  <si>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</si>
  <si>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</si>
  <si>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</si>
  <si>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</si>
  <si>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</si>
  <si>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</si>
  <si>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</si>
  <si>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</si>
  <si>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</si>
  <si>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</si>
  <si>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</si>
  <si>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</si>
  <si>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</si>
  <si>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</si>
  <si>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</si>
  <si>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</si>
  <si>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</si>
  <si>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</si>
  <si>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</si>
  <si>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</si>
  <si>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</si>
  <si>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</si>
  <si>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</si>
  <si>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</si>
  <si>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</si>
  <si>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</si>
  <si>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</si>
  <si>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</si>
  <si>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</si>
  <si>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</si>
  <si>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</si>
  <si>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</si>
  <si>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</si>
  <si>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</si>
  <si>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</si>
  <si>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</si>
  <si>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</si>
  <si>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</si>
  <si>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</si>
  <si>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</si>
  <si>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</si>
  <si>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</si>
  <si>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</si>
  <si>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</si>
  <si>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</si>
  <si>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</si>
  <si>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</si>
  <si>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</si>
  <si>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</si>
  <si>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</si>
  <si>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</si>
  <si>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</si>
  <si>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</si>
  <si>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</si>
  <si>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</si>
  <si>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</si>
  <si>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</si>
  <si>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</si>
  <si>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</si>
  <si>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</si>
  <si>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</si>
  <si>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</si>
  <si>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</si>
  <si>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</si>
  <si>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</si>
  <si>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</si>
  <si>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</si>
  <si>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</si>
  <si>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</si>
  <si>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</si>
  <si>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</si>
  <si>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</si>
  <si>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</si>
  <si>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</si>
  <si>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</si>
  <si>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</si>
  <si>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</si>
  <si>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</si>
  <si>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</si>
  <si>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</si>
  <si>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</si>
  <si>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</si>
  <si>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</si>
  <si>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</si>
  <si>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</si>
  <si>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</si>
  <si>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</si>
  <si>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</si>
  <si>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</si>
  <si>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</si>
  <si>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</si>
  <si>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</si>
  <si>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</si>
  <si>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</si>
  <si>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</si>
  <si>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</si>
  <si>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</si>
  <si>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</si>
  <si>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</si>
  <si>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</si>
  <si>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</si>
  <si>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</si>
  <si>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</si>
  <si>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</si>
  <si>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</si>
  <si>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</si>
  <si>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</si>
  <si>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</si>
  <si>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</si>
  <si>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</si>
  <si>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</si>
  <si>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</si>
  <si>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</si>
  <si>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</si>
  <si>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</si>
  <si>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</si>
  <si>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</si>
  <si>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</si>
  <si>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</si>
  <si>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</si>
  <si>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</si>
  <si>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</si>
  <si>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</si>
  <si>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</si>
  <si>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</si>
  <si>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</si>
  <si>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</si>
  <si>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</si>
  <si>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</si>
  <si>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</si>
  <si>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</si>
  <si>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</si>
  <si>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</si>
  <si>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</si>
  <si>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</si>
  <si>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</si>
  <si>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</si>
  <si>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</si>
  <si>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</si>
  <si>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</si>
  <si>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</si>
  <si>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</si>
  <si>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</si>
  <si>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</si>
  <si>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</si>
  <si>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</si>
  <si>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</si>
  <si>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</si>
  <si>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</si>
  <si>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</si>
  <si>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</si>
  <si>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</si>
  <si>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</si>
  <si>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</si>
  <si>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</si>
  <si>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</si>
  <si>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</si>
  <si>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</si>
  <si>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</si>
  <si>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</si>
  <si>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</si>
  <si>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</si>
  <si>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</si>
  <si>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</si>
  <si>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</si>
  <si>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</si>
  <si>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</si>
  <si>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</si>
  <si>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</si>
  <si>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</si>
  <si>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</si>
  <si>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</si>
  <si>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</si>
  <si>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</si>
  <si>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</si>
  <si>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</si>
  <si>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</si>
  <si>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</si>
  <si>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</si>
  <si>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</si>
  <si>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</si>
  <si>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</si>
  <si>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</si>
  <si>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</si>
  <si>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</si>
  <si>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</si>
  <si>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</si>
  <si>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</si>
  <si>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</si>
  <si>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</si>
  <si>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</si>
  <si>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</si>
  <si>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</si>
  <si>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</si>
  <si>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</si>
  <si>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</si>
  <si>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</si>
  <si>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</si>
  <si>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</si>
  <si>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</si>
  <si>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</si>
  <si>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</si>
  <si>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</si>
  <si>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</si>
  <si>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</si>
  <si>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</si>
  <si>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</si>
  <si>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</si>
  <si>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</si>
  <si>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</si>
  <si>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</si>
  <si>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</si>
  <si>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</si>
  <si>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</si>
  <si>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</si>
  <si>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</si>
  <si>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</si>
  <si>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</si>
  <si>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</si>
  <si>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</si>
  <si>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</si>
  <si>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</si>
  <si>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</si>
  <si>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</si>
  <si>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</si>
  <si>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</si>
  <si>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</si>
  <si>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</si>
  <si>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</si>
  <si>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</si>
  <si>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</si>
  <si>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</si>
  <si>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</si>
  <si>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</si>
  <si>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</si>
  <si>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</si>
  <si>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</si>
  <si>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</si>
  <si>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</si>
  <si>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</si>
  <si>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</si>
  <si>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</si>
  <si>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</si>
  <si>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</si>
  <si>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</si>
  <si>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</si>
  <si>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</si>
  <si>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</si>
  <si>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</si>
  <si>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</si>
  <si>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</si>
  <si>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</si>
  <si>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</si>
  <si>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</si>
  <si>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</si>
  <si>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</si>
  <si>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</si>
  <si>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</si>
  <si>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</si>
  <si>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</si>
  <si>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</si>
  <si>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</si>
  <si>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</si>
  <si>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</si>
  <si>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</si>
  <si>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</si>
  <si>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</si>
  <si>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</si>
  <si>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</si>
  <si>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</si>
  <si>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</si>
  <si>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</si>
  <si>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</si>
  <si>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</si>
  <si>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</si>
  <si>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</si>
  <si>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</si>
  <si>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</si>
  <si>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</si>
  <si>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</si>
  <si>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</si>
  <si>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</si>
  <si>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</si>
  <si>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</si>
  <si>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</si>
  <si>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</si>
  <si>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</si>
  <si>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</si>
  <si>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</si>
  <si>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</si>
  <si>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</si>
  <si>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</si>
  <si>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</si>
  <si>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</si>
  <si>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</si>
  <si>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</si>
  <si>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</si>
  <si>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</si>
  <si>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</si>
  <si>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</si>
  <si>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</si>
  <si>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</si>
  <si>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</si>
  <si>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</si>
  <si>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</si>
  <si>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</si>
  <si>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</si>
  <si>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</si>
  <si>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</si>
  <si>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</si>
  <si>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</si>
  <si>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</si>
  <si>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</si>
  <si>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</si>
  <si>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</si>
  <si>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</si>
  <si>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</si>
  <si>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</si>
  <si>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</si>
  <si>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</si>
  <si>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</si>
  <si>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</si>
  <si>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</si>
  <si>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</si>
  <si>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</si>
  <si>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</si>
  <si>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</si>
  <si>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</si>
  <si>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</si>
  <si>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</si>
  <si>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</si>
  <si>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</si>
  <si>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</si>
  <si>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</si>
  <si>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</si>
  <si>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</si>
  <si>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</si>
  <si>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</si>
  <si>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</si>
  <si>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</si>
  <si>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</si>
  <si>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</si>
  <si>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</si>
  <si>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</si>
  <si>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</si>
  <si>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</si>
  <si>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</si>
  <si>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boy}MCS</t>
  </si>
  <si>
    <t>taxi4boy</t>
  </si>
  <si>
    <t>1300 planned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</si>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</sst>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0" fillId="0" borderId="7" xfId="0" applyNumberFormat="1" applyFont="1" applyBorder="1"/>
    <xf numFmtId="3" fontId="44" fillId="0" borderId="7" xfId="0" applyNumberFormat="1" applyFont="1" applyBorder="1"/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opLeftCell="IS1" zoomScaleNormal="100" workbookViewId="0">
      <selection activeCell="JG26" sqref="JG2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11.88671875" style="623" bestFit="1" customWidth="1"/>
    <col min="258" max="258" width="18.33203125" style="623" customWidth="1"/>
    <col min="259" max="259" width="10.33203125" style="623" customWidth="1"/>
    <col min="260" max="260" width="14.5546875" style="681" customWidth="1"/>
    <col min="261" max="261" width="11.88671875" style="681" bestFit="1" customWidth="1"/>
    <col min="262" max="262" width="15.88671875" style="681" customWidth="1"/>
    <col min="263" max="263" width="11.88671875" style="681" bestFit="1" customWidth="1"/>
    <col min="264" max="264" width="18.33203125" style="681" customWidth="1"/>
    <col min="265" max="265" width="12.44140625" style="681" customWidth="1"/>
    <col min="266" max="266" width="7.109375" style="681" customWidth="1"/>
    <col min="267" max="267" width="6.109375" customWidth="1"/>
  </cols>
  <sheetData>
    <row r="1" spans="1:267" s="145" customFormat="1" x14ac:dyDescent="0.25">
      <c r="A1" s="753" t="s">
        <v>1217</v>
      </c>
      <c r="B1" s="753"/>
      <c r="C1" s="718" t="s">
        <v>292</v>
      </c>
      <c r="D1" s="718"/>
      <c r="E1" s="716" t="s">
        <v>1017</v>
      </c>
      <c r="F1" s="716"/>
      <c r="G1" s="753" t="s">
        <v>1218</v>
      </c>
      <c r="H1" s="753"/>
      <c r="I1" s="718" t="s">
        <v>292</v>
      </c>
      <c r="J1" s="718"/>
      <c r="K1" s="716" t="s">
        <v>1018</v>
      </c>
      <c r="L1" s="716"/>
      <c r="M1" s="753" t="s">
        <v>1219</v>
      </c>
      <c r="N1" s="753"/>
      <c r="O1" s="718" t="s">
        <v>292</v>
      </c>
      <c r="P1" s="718"/>
      <c r="Q1" s="716" t="s">
        <v>1064</v>
      </c>
      <c r="R1" s="716"/>
      <c r="S1" s="753" t="s">
        <v>1220</v>
      </c>
      <c r="T1" s="753"/>
      <c r="U1" s="718" t="s">
        <v>292</v>
      </c>
      <c r="V1" s="718"/>
      <c r="W1" s="716" t="s">
        <v>633</v>
      </c>
      <c r="X1" s="716"/>
      <c r="Y1" s="753" t="s">
        <v>1221</v>
      </c>
      <c r="Z1" s="753"/>
      <c r="AA1" s="718" t="s">
        <v>292</v>
      </c>
      <c r="AB1" s="718"/>
      <c r="AC1" s="716" t="s">
        <v>1091</v>
      </c>
      <c r="AD1" s="716"/>
      <c r="AE1" s="753" t="s">
        <v>1222</v>
      </c>
      <c r="AF1" s="753"/>
      <c r="AG1" s="718" t="s">
        <v>292</v>
      </c>
      <c r="AH1" s="718"/>
      <c r="AI1" s="716" t="s">
        <v>1141</v>
      </c>
      <c r="AJ1" s="716"/>
      <c r="AK1" s="753" t="s">
        <v>1225</v>
      </c>
      <c r="AL1" s="753"/>
      <c r="AM1" s="718" t="s">
        <v>1139</v>
      </c>
      <c r="AN1" s="718"/>
      <c r="AO1" s="716" t="s">
        <v>1140</v>
      </c>
      <c r="AP1" s="716"/>
      <c r="AQ1" s="753" t="s">
        <v>1226</v>
      </c>
      <c r="AR1" s="753"/>
      <c r="AS1" s="718" t="s">
        <v>1139</v>
      </c>
      <c r="AT1" s="718"/>
      <c r="AU1" s="716" t="s">
        <v>1185</v>
      </c>
      <c r="AV1" s="716"/>
      <c r="AW1" s="753" t="s">
        <v>1223</v>
      </c>
      <c r="AX1" s="753"/>
      <c r="AY1" s="716" t="s">
        <v>1249</v>
      </c>
      <c r="AZ1" s="716"/>
      <c r="BA1" s="753" t="s">
        <v>1223</v>
      </c>
      <c r="BB1" s="753"/>
      <c r="BC1" s="718" t="s">
        <v>822</v>
      </c>
      <c r="BD1" s="718"/>
      <c r="BE1" s="716" t="s">
        <v>1216</v>
      </c>
      <c r="BF1" s="716"/>
      <c r="BG1" s="753" t="s">
        <v>1224</v>
      </c>
      <c r="BH1" s="753"/>
      <c r="BI1" s="718" t="s">
        <v>822</v>
      </c>
      <c r="BJ1" s="718"/>
      <c r="BK1" s="716" t="s">
        <v>1216</v>
      </c>
      <c r="BL1" s="716"/>
      <c r="BM1" s="753" t="s">
        <v>1234</v>
      </c>
      <c r="BN1" s="753"/>
      <c r="BO1" s="718" t="s">
        <v>822</v>
      </c>
      <c r="BP1" s="718"/>
      <c r="BQ1" s="716" t="s">
        <v>1252</v>
      </c>
      <c r="BR1" s="716"/>
      <c r="BS1" s="753" t="s">
        <v>1251</v>
      </c>
      <c r="BT1" s="753"/>
      <c r="BU1" s="718" t="s">
        <v>822</v>
      </c>
      <c r="BV1" s="718"/>
      <c r="BW1" s="716" t="s">
        <v>1256</v>
      </c>
      <c r="BX1" s="716"/>
      <c r="BY1" s="753" t="s">
        <v>1278</v>
      </c>
      <c r="BZ1" s="753"/>
      <c r="CA1" s="718" t="s">
        <v>822</v>
      </c>
      <c r="CB1" s="718"/>
      <c r="CC1" s="716" t="s">
        <v>1252</v>
      </c>
      <c r="CD1" s="716"/>
      <c r="CE1" s="753" t="s">
        <v>1299</v>
      </c>
      <c r="CF1" s="753"/>
      <c r="CG1" s="718" t="s">
        <v>822</v>
      </c>
      <c r="CH1" s="718"/>
      <c r="CI1" s="716" t="s">
        <v>1256</v>
      </c>
      <c r="CJ1" s="716"/>
      <c r="CK1" s="753" t="s">
        <v>1315</v>
      </c>
      <c r="CL1" s="753"/>
      <c r="CM1" s="718" t="s">
        <v>822</v>
      </c>
      <c r="CN1" s="718"/>
      <c r="CO1" s="716" t="s">
        <v>1252</v>
      </c>
      <c r="CP1" s="716"/>
      <c r="CQ1" s="753" t="s">
        <v>1343</v>
      </c>
      <c r="CR1" s="753"/>
      <c r="CS1" s="749" t="s">
        <v>822</v>
      </c>
      <c r="CT1" s="749"/>
      <c r="CU1" s="716" t="s">
        <v>1399</v>
      </c>
      <c r="CV1" s="716"/>
      <c r="CW1" s="753" t="s">
        <v>1382</v>
      </c>
      <c r="CX1" s="753"/>
      <c r="CY1" s="749" t="s">
        <v>822</v>
      </c>
      <c r="CZ1" s="749"/>
      <c r="DA1" s="716" t="s">
        <v>1605</v>
      </c>
      <c r="DB1" s="716"/>
      <c r="DC1" s="753" t="s">
        <v>1402</v>
      </c>
      <c r="DD1" s="753"/>
      <c r="DE1" s="749" t="s">
        <v>822</v>
      </c>
      <c r="DF1" s="749"/>
      <c r="DG1" s="716" t="s">
        <v>1499</v>
      </c>
      <c r="DH1" s="716"/>
      <c r="DI1" s="753" t="s">
        <v>1602</v>
      </c>
      <c r="DJ1" s="753"/>
      <c r="DK1" s="749" t="s">
        <v>822</v>
      </c>
      <c r="DL1" s="749"/>
      <c r="DM1" s="716" t="s">
        <v>1399</v>
      </c>
      <c r="DN1" s="716"/>
      <c r="DO1" s="753" t="s">
        <v>1603</v>
      </c>
      <c r="DP1" s="753"/>
      <c r="DQ1" s="749" t="s">
        <v>822</v>
      </c>
      <c r="DR1" s="749"/>
      <c r="DS1" s="716" t="s">
        <v>1598</v>
      </c>
      <c r="DT1" s="716"/>
      <c r="DU1" s="753" t="s">
        <v>1604</v>
      </c>
      <c r="DV1" s="753"/>
      <c r="DW1" s="749" t="s">
        <v>822</v>
      </c>
      <c r="DX1" s="749"/>
      <c r="DY1" s="716" t="s">
        <v>1624</v>
      </c>
      <c r="DZ1" s="716"/>
      <c r="EA1" s="748" t="s">
        <v>1619</v>
      </c>
      <c r="EB1" s="748"/>
      <c r="EC1" s="749" t="s">
        <v>822</v>
      </c>
      <c r="ED1" s="749"/>
      <c r="EE1" s="716" t="s">
        <v>1598</v>
      </c>
      <c r="EF1" s="716"/>
      <c r="EG1" s="365"/>
      <c r="EH1" s="748" t="s">
        <v>1649</v>
      </c>
      <c r="EI1" s="748"/>
      <c r="EJ1" s="749" t="s">
        <v>822</v>
      </c>
      <c r="EK1" s="749"/>
      <c r="EL1" s="716" t="s">
        <v>1683</v>
      </c>
      <c r="EM1" s="716"/>
      <c r="EN1" s="748" t="s">
        <v>1674</v>
      </c>
      <c r="EO1" s="748"/>
      <c r="EP1" s="749" t="s">
        <v>822</v>
      </c>
      <c r="EQ1" s="749"/>
      <c r="ER1" s="716" t="s">
        <v>1723</v>
      </c>
      <c r="ES1" s="716"/>
      <c r="ET1" s="748" t="s">
        <v>1716</v>
      </c>
      <c r="EU1" s="748"/>
      <c r="EV1" s="749" t="s">
        <v>822</v>
      </c>
      <c r="EW1" s="749"/>
      <c r="EX1" s="716" t="s">
        <v>1624</v>
      </c>
      <c r="EY1" s="716"/>
      <c r="EZ1" s="748" t="s">
        <v>1751</v>
      </c>
      <c r="FA1" s="748"/>
      <c r="FB1" s="749" t="s">
        <v>822</v>
      </c>
      <c r="FC1" s="749"/>
      <c r="FD1" s="716" t="s">
        <v>1605</v>
      </c>
      <c r="FE1" s="716"/>
      <c r="FF1" s="748" t="s">
        <v>1790</v>
      </c>
      <c r="FG1" s="748"/>
      <c r="FH1" s="749" t="s">
        <v>822</v>
      </c>
      <c r="FI1" s="749"/>
      <c r="FJ1" s="716" t="s">
        <v>1399</v>
      </c>
      <c r="FK1" s="716"/>
      <c r="FL1" s="748" t="s">
        <v>1825</v>
      </c>
      <c r="FM1" s="748"/>
      <c r="FN1" s="749" t="s">
        <v>822</v>
      </c>
      <c r="FO1" s="749"/>
      <c r="FP1" s="716" t="s">
        <v>1872</v>
      </c>
      <c r="FQ1" s="716"/>
      <c r="FR1" s="748" t="s">
        <v>1861</v>
      </c>
      <c r="FS1" s="748"/>
      <c r="FT1" s="749" t="s">
        <v>822</v>
      </c>
      <c r="FU1" s="749"/>
      <c r="FV1" s="716" t="s">
        <v>1872</v>
      </c>
      <c r="FW1" s="716"/>
      <c r="FX1" s="748" t="s">
        <v>2005</v>
      </c>
      <c r="FY1" s="748"/>
      <c r="FZ1" s="749" t="s">
        <v>822</v>
      </c>
      <c r="GA1" s="749"/>
      <c r="GB1" s="716" t="s">
        <v>1624</v>
      </c>
      <c r="GC1" s="716"/>
      <c r="GD1" s="748" t="s">
        <v>2006</v>
      </c>
      <c r="GE1" s="748"/>
      <c r="GF1" s="749" t="s">
        <v>822</v>
      </c>
      <c r="GG1" s="749"/>
      <c r="GH1" s="716" t="s">
        <v>1598</v>
      </c>
      <c r="GI1" s="716"/>
      <c r="GJ1" s="748" t="s">
        <v>2015</v>
      </c>
      <c r="GK1" s="748"/>
      <c r="GL1" s="749" t="s">
        <v>822</v>
      </c>
      <c r="GM1" s="749"/>
      <c r="GN1" s="716" t="s">
        <v>1598</v>
      </c>
      <c r="GO1" s="716"/>
      <c r="GP1" s="748" t="s">
        <v>2057</v>
      </c>
      <c r="GQ1" s="748"/>
      <c r="GR1" s="749" t="s">
        <v>822</v>
      </c>
      <c r="GS1" s="749"/>
      <c r="GT1" s="716" t="s">
        <v>1683</v>
      </c>
      <c r="GU1" s="716"/>
      <c r="GV1" s="748" t="s">
        <v>2091</v>
      </c>
      <c r="GW1" s="748"/>
      <c r="GX1" s="749" t="s">
        <v>822</v>
      </c>
      <c r="GY1" s="749"/>
      <c r="GZ1" s="716" t="s">
        <v>2130</v>
      </c>
      <c r="HA1" s="716"/>
      <c r="HB1" s="748" t="s">
        <v>2150</v>
      </c>
      <c r="HC1" s="748"/>
      <c r="HD1" s="749" t="s">
        <v>822</v>
      </c>
      <c r="HE1" s="749"/>
      <c r="HF1" s="716" t="s">
        <v>1723</v>
      </c>
      <c r="HG1" s="716"/>
      <c r="HH1" s="748" t="s">
        <v>2163</v>
      </c>
      <c r="HI1" s="748"/>
      <c r="HJ1" s="749" t="s">
        <v>822</v>
      </c>
      <c r="HK1" s="749"/>
      <c r="HL1" s="716" t="s">
        <v>1399</v>
      </c>
      <c r="HM1" s="716"/>
      <c r="HN1" s="748" t="s">
        <v>2209</v>
      </c>
      <c r="HO1" s="748"/>
      <c r="HP1" s="749" t="s">
        <v>822</v>
      </c>
      <c r="HQ1" s="749"/>
      <c r="HR1" s="716" t="s">
        <v>1399</v>
      </c>
      <c r="HS1" s="716"/>
      <c r="HT1" s="748" t="s">
        <v>2265</v>
      </c>
      <c r="HU1" s="748"/>
      <c r="HV1" s="749" t="s">
        <v>822</v>
      </c>
      <c r="HW1" s="749"/>
      <c r="HX1" s="716" t="s">
        <v>1624</v>
      </c>
      <c r="HY1" s="716"/>
      <c r="HZ1" s="748" t="s">
        <v>2327</v>
      </c>
      <c r="IA1" s="748"/>
      <c r="IB1" s="749" t="s">
        <v>822</v>
      </c>
      <c r="IC1" s="749"/>
      <c r="ID1" s="716" t="s">
        <v>1723</v>
      </c>
      <c r="IE1" s="716"/>
      <c r="IF1" s="748" t="s">
        <v>2395</v>
      </c>
      <c r="IG1" s="748"/>
      <c r="IH1" s="749" t="s">
        <v>822</v>
      </c>
      <c r="II1" s="749"/>
      <c r="IJ1" s="716" t="s">
        <v>1598</v>
      </c>
      <c r="IK1" s="716"/>
      <c r="IL1" s="748" t="s">
        <v>2471</v>
      </c>
      <c r="IM1" s="748"/>
      <c r="IN1" s="749" t="s">
        <v>822</v>
      </c>
      <c r="IO1" s="749"/>
      <c r="IP1" s="716" t="s">
        <v>1624</v>
      </c>
      <c r="IQ1" s="716"/>
      <c r="IR1" s="748" t="s">
        <v>2578</v>
      </c>
      <c r="IS1" s="748"/>
      <c r="IT1" s="749" t="s">
        <v>822</v>
      </c>
      <c r="IU1" s="749"/>
      <c r="IV1" s="716" t="s">
        <v>1756</v>
      </c>
      <c r="IW1" s="716"/>
      <c r="IX1" s="748" t="s">
        <v>2689</v>
      </c>
      <c r="IY1" s="748"/>
      <c r="IZ1" s="749" t="s">
        <v>822</v>
      </c>
      <c r="JA1" s="749"/>
      <c r="JB1" s="716" t="s">
        <v>1756</v>
      </c>
      <c r="JC1" s="716"/>
      <c r="JD1" s="748" t="s">
        <v>2329</v>
      </c>
      <c r="JE1" s="748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SUM(JA3:JA17)</f>
        <v>30</v>
      </c>
      <c r="JB2" s="338" t="s">
        <v>296</v>
      </c>
      <c r="JC2" s="277">
        <f>JA2+IY2-JE2</f>
        <v>913.13299999997253</v>
      </c>
      <c r="JD2" s="681" t="s">
        <v>1919</v>
      </c>
      <c r="JE2" s="367">
        <f>SUM(JE3:JE23)</f>
        <v>110688.13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2411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2411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2407</v>
      </c>
      <c r="HY3" s="277"/>
      <c r="HZ3" t="s">
        <v>2372</v>
      </c>
      <c r="IA3" s="367">
        <f>SUM(IA6:IA39)</f>
        <v>119306.65000000002</v>
      </c>
      <c r="IB3" t="s">
        <v>639</v>
      </c>
      <c r="IC3" s="534">
        <v>15104.63</v>
      </c>
      <c r="ID3" s="338" t="s">
        <v>2411</v>
      </c>
      <c r="IE3" s="277">
        <f>IE2-IC26-IC27</f>
        <v>6802.6743333333507</v>
      </c>
      <c r="IF3" t="s">
        <v>2373</v>
      </c>
      <c r="IG3" s="272">
        <f>$IA$6</f>
        <v>-420000</v>
      </c>
      <c r="IH3" t="s">
        <v>639</v>
      </c>
      <c r="II3" s="534">
        <v>15104.63</v>
      </c>
      <c r="IJ3" t="s">
        <v>2425</v>
      </c>
      <c r="IK3" s="277">
        <f>IK2-II42-II41</f>
        <v>9220.5533333333187</v>
      </c>
      <c r="IL3" t="s">
        <v>2373</v>
      </c>
      <c r="IM3" s="272">
        <f>$IA$6</f>
        <v>-420000</v>
      </c>
      <c r="IN3" t="s">
        <v>639</v>
      </c>
      <c r="IO3" s="584">
        <v>15104.63</v>
      </c>
      <c r="IP3" t="s">
        <v>2425</v>
      </c>
      <c r="IQ3" s="277">
        <f>IQ2-IO34-IO33-IQ57</f>
        <v>5631.8933333333571</v>
      </c>
      <c r="IR3" t="s">
        <v>2373</v>
      </c>
      <c r="IS3" s="272">
        <f>$IA$6</f>
        <v>-420000</v>
      </c>
      <c r="IT3" s="623" t="s">
        <v>639</v>
      </c>
      <c r="IU3" s="584">
        <v>43151.3</v>
      </c>
      <c r="IV3" s="623" t="s">
        <v>2425</v>
      </c>
      <c r="IW3" s="277">
        <f>IW2-IU25-IU24-IW44</f>
        <v>5412.0003333333552</v>
      </c>
      <c r="IX3" s="623" t="s">
        <v>2373</v>
      </c>
      <c r="IY3" s="272">
        <f>$IA$6</f>
        <v>-420000</v>
      </c>
      <c r="IZ3" s="681" t="s">
        <v>639</v>
      </c>
      <c r="JA3" s="584"/>
      <c r="JB3" s="681" t="s">
        <v>2425</v>
      </c>
      <c r="JC3" s="277">
        <f>JC2-JA23-JA22-JC45</f>
        <v>913.13299999997253</v>
      </c>
      <c r="JD3" s="681" t="s">
        <v>2373</v>
      </c>
      <c r="JE3" s="272">
        <f>$IA$6</f>
        <v>-420000</v>
      </c>
      <c r="JF3" s="665"/>
    </row>
    <row r="4" spans="1:267" ht="12.75" customHeight="1" thickBot="1" x14ac:dyDescent="0.3">
      <c r="A4" s="713" t="s">
        <v>998</v>
      </c>
      <c r="B4" s="713"/>
      <c r="E4" s="173" t="s">
        <v>233</v>
      </c>
      <c r="F4" s="177">
        <f>F3-F5</f>
        <v>17</v>
      </c>
      <c r="G4" s="713" t="s">
        <v>998</v>
      </c>
      <c r="H4" s="713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2412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2412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2411</v>
      </c>
      <c r="HY4" s="2">
        <f>HY2-HW25-HW24</f>
        <v>11602.456666666758</v>
      </c>
      <c r="HZ4" t="s">
        <v>2374</v>
      </c>
      <c r="IA4" s="367"/>
      <c r="IB4" t="s">
        <v>2378</v>
      </c>
      <c r="IC4" s="534">
        <v>-1437.02</v>
      </c>
      <c r="ID4" t="s">
        <v>2424</v>
      </c>
      <c r="IE4" s="277">
        <f>IE3-IE57</f>
        <v>3490.8843333333507</v>
      </c>
      <c r="IF4" s="1" t="s">
        <v>1638</v>
      </c>
      <c r="IG4" s="145">
        <v>-192</v>
      </c>
      <c r="IH4" t="s">
        <v>2455</v>
      </c>
      <c r="II4" s="534">
        <v>-1437.02</v>
      </c>
      <c r="IJ4" s="564" t="s">
        <v>2477</v>
      </c>
      <c r="IK4" s="277">
        <f>IK3-II43</f>
        <v>5752.8033333333187</v>
      </c>
      <c r="IL4" s="1" t="s">
        <v>2307</v>
      </c>
      <c r="IM4" s="276">
        <v>-75000</v>
      </c>
      <c r="IN4" t="s">
        <v>2455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2247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2672</v>
      </c>
      <c r="IY4" s="672">
        <v>0.13300000000000001</v>
      </c>
      <c r="IZ4" s="681" t="s">
        <v>2247</v>
      </c>
      <c r="JA4" s="584"/>
      <c r="JB4" s="681" t="s">
        <v>1211</v>
      </c>
      <c r="JC4" s="290">
        <f>JC2-JC5</f>
        <v>-0.56700000002751949</v>
      </c>
      <c r="JD4" s="681" t="s">
        <v>2690</v>
      </c>
      <c r="JE4" s="272">
        <f>-140000-56000</f>
        <v>-196000</v>
      </c>
      <c r="JF4" s="665"/>
    </row>
    <row r="5" spans="1:267" x14ac:dyDescent="0.25">
      <c r="A5" s="713"/>
      <c r="B5" s="713"/>
      <c r="E5" s="173" t="s">
        <v>358</v>
      </c>
      <c r="F5" s="177">
        <f>SUM(F15:F56)</f>
        <v>12750</v>
      </c>
      <c r="G5" s="713"/>
      <c r="H5" s="713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2379</v>
      </c>
      <c r="HW5" s="52">
        <v>-1437.02</v>
      </c>
      <c r="HX5" t="s">
        <v>2408</v>
      </c>
      <c r="HY5" s="277">
        <f>HY4-HY53</f>
        <v>4272.9566666667579</v>
      </c>
      <c r="HZ5" t="s">
        <v>2375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2448</v>
      </c>
      <c r="II5" s="534">
        <v>100</v>
      </c>
      <c r="IJ5" t="s">
        <v>1211</v>
      </c>
      <c r="IK5" s="290">
        <f>IK2-IK6</f>
        <v>1.0099999999856664</v>
      </c>
      <c r="IL5" s="566" t="s">
        <v>2430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2430</v>
      </c>
      <c r="IS5" s="2">
        <v>0</v>
      </c>
      <c r="IT5" s="623" t="s">
        <v>2666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2666</v>
      </c>
      <c r="JA5" s="534" t="s">
        <v>2723</v>
      </c>
      <c r="JB5" s="681" t="s">
        <v>358</v>
      </c>
      <c r="JC5" s="277">
        <f>SUM(JC6:JC40)</f>
        <v>913.7</v>
      </c>
      <c r="JD5" s="685" t="s">
        <v>2307</v>
      </c>
      <c r="JE5" s="276">
        <v>-75000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2373</v>
      </c>
      <c r="IA6" s="272">
        <v>-420000</v>
      </c>
      <c r="IB6" t="s">
        <v>2353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2469</v>
      </c>
      <c r="II6" s="534">
        <v>150</v>
      </c>
      <c r="IJ6" t="s">
        <v>358</v>
      </c>
      <c r="IK6" s="277">
        <f>SUM(IK7:IK59)</f>
        <v>13099.409999999998</v>
      </c>
      <c r="IL6" t="s">
        <v>2452</v>
      </c>
      <c r="IM6" s="272">
        <v>235000</v>
      </c>
      <c r="IO6" s="534"/>
      <c r="IP6" s="355" t="s">
        <v>2487</v>
      </c>
      <c r="IQ6" s="61">
        <v>26</v>
      </c>
      <c r="IR6" t="s">
        <v>2452</v>
      </c>
      <c r="IS6" s="272">
        <v>305005</v>
      </c>
      <c r="IT6" s="623" t="s">
        <v>2659</v>
      </c>
      <c r="IU6" s="534">
        <v>100</v>
      </c>
      <c r="IV6" s="355" t="s">
        <v>2487</v>
      </c>
      <c r="IW6" s="61">
        <v>11</v>
      </c>
      <c r="IX6" s="626" t="s">
        <v>2430</v>
      </c>
      <c r="IY6" s="272">
        <v>-4000</v>
      </c>
      <c r="JA6" s="534"/>
      <c r="JB6" s="355" t="s">
        <v>2487</v>
      </c>
      <c r="JC6" s="61"/>
      <c r="JD6" s="686" t="s">
        <v>2430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2371</v>
      </c>
      <c r="IG7" s="363">
        <v>-8</v>
      </c>
      <c r="IH7" t="s">
        <v>2505</v>
      </c>
      <c r="II7" s="534">
        <v>2.27</v>
      </c>
      <c r="IJ7" s="355" t="s">
        <v>2426</v>
      </c>
      <c r="IK7">
        <v>15</v>
      </c>
      <c r="IL7" s="1" t="s">
        <v>1638</v>
      </c>
      <c r="IM7" s="145">
        <v>-2488</v>
      </c>
      <c r="IN7" t="s">
        <v>2567</v>
      </c>
      <c r="IO7" s="534"/>
      <c r="IP7" s="355" t="s">
        <v>2524</v>
      </c>
      <c r="IQ7" s="61">
        <v>17</v>
      </c>
      <c r="IR7" s="324" t="s">
        <v>2495</v>
      </c>
      <c r="IS7" s="634">
        <v>0</v>
      </c>
      <c r="IT7" s="663" t="s">
        <v>2656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2669</v>
      </c>
      <c r="IY7" s="2">
        <f>100*(120+1000+330+310)</f>
        <v>176000</v>
      </c>
      <c r="IZ7" s="681" t="s">
        <v>2567</v>
      </c>
      <c r="JA7" s="534"/>
      <c r="JB7" s="355" t="s">
        <v>1009</v>
      </c>
      <c r="JC7" s="61"/>
      <c r="JD7" s="258" t="s">
        <v>2669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2354</v>
      </c>
      <c r="IC8" s="534"/>
      <c r="ID8" s="399" t="s">
        <v>2340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2511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2655</v>
      </c>
      <c r="IW8" s="61">
        <v>2000</v>
      </c>
      <c r="IX8" s="623" t="s">
        <v>2452</v>
      </c>
      <c r="IY8" s="272">
        <v>360000</v>
      </c>
      <c r="IZ8" s="681" t="s">
        <v>2665</v>
      </c>
      <c r="JA8" s="534"/>
      <c r="JB8" s="355" t="s">
        <v>2691</v>
      </c>
      <c r="JC8" s="61"/>
      <c r="JD8" s="681" t="s">
        <v>2452</v>
      </c>
      <c r="JE8" s="272">
        <v>560000</v>
      </c>
      <c r="JF8" s="665">
        <v>44978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2369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2370</v>
      </c>
      <c r="IE9">
        <v>32.1</v>
      </c>
      <c r="IF9" s="66" t="s">
        <v>1513</v>
      </c>
      <c r="IG9" s="2">
        <v>817</v>
      </c>
      <c r="IH9" t="s">
        <v>2439</v>
      </c>
      <c r="IJ9" s="558" t="s">
        <v>2414</v>
      </c>
      <c r="IK9" s="348">
        <f>6+5+3+10+7</f>
        <v>31</v>
      </c>
      <c r="IL9" s="324" t="s">
        <v>1639</v>
      </c>
      <c r="IM9" s="413">
        <v>0.08</v>
      </c>
      <c r="IN9" t="s">
        <v>2568</v>
      </c>
      <c r="IO9">
        <f>9.9+76.9</f>
        <v>86.800000000000011</v>
      </c>
      <c r="IP9" s="355" t="s">
        <v>2519</v>
      </c>
      <c r="IQ9" s="61">
        <v>2000</v>
      </c>
      <c r="IR9" s="6" t="s">
        <v>2566</v>
      </c>
      <c r="IS9" s="363">
        <v>116</v>
      </c>
      <c r="IT9" s="623" t="s">
        <v>2567</v>
      </c>
      <c r="IU9" s="534"/>
      <c r="IV9" s="399" t="s">
        <v>2654</v>
      </c>
      <c r="IW9" s="575">
        <v>2000</v>
      </c>
      <c r="IX9" s="324" t="s">
        <v>2495</v>
      </c>
      <c r="IY9" s="678">
        <v>-49.87</v>
      </c>
      <c r="IZ9" s="681" t="s">
        <v>2687</v>
      </c>
      <c r="JB9" s="399" t="s">
        <v>2042</v>
      </c>
      <c r="JC9" s="575">
        <v>454.04</v>
      </c>
      <c r="JD9" s="324" t="s">
        <v>2495</v>
      </c>
      <c r="JE9" s="634">
        <v>-49.87</v>
      </c>
      <c r="JF9" s="665"/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2363</v>
      </c>
      <c r="IE10" s="2">
        <f>11000+300</f>
        <v>11300</v>
      </c>
      <c r="IF10" s="66" t="s">
        <v>1514</v>
      </c>
      <c r="IG10" s="2">
        <v>1463</v>
      </c>
      <c r="IH10" t="s">
        <v>2406</v>
      </c>
      <c r="II10">
        <v>10</v>
      </c>
      <c r="IJ10" s="399" t="s">
        <v>2450</v>
      </c>
      <c r="IK10" s="348">
        <v>3179</v>
      </c>
      <c r="IL10" s="6" t="s">
        <v>2371</v>
      </c>
      <c r="IM10" s="363">
        <v>35</v>
      </c>
      <c r="IN10" s="9" t="s">
        <v>2573</v>
      </c>
      <c r="IO10" s="614">
        <v>46.26</v>
      </c>
      <c r="IP10" s="350" t="s">
        <v>2490</v>
      </c>
      <c r="IQ10" s="576">
        <v>210.89</v>
      </c>
      <c r="IR10" s="6" t="s">
        <v>1846</v>
      </c>
      <c r="IS10" s="559">
        <v>2500</v>
      </c>
      <c r="IT10" s="623" t="s">
        <v>2665</v>
      </c>
      <c r="IU10" s="534">
        <v>15.03</v>
      </c>
      <c r="IV10" s="399" t="s">
        <v>2660</v>
      </c>
      <c r="IW10" s="575">
        <v>135.25</v>
      </c>
      <c r="IX10" s="627" t="s">
        <v>1638</v>
      </c>
      <c r="IY10" s="633">
        <v>-997</v>
      </c>
      <c r="IZ10" s="681" t="s">
        <v>2721</v>
      </c>
      <c r="JA10" s="681">
        <v>30</v>
      </c>
      <c r="JB10" s="350" t="s">
        <v>2692</v>
      </c>
      <c r="JC10" s="576">
        <v>52.89</v>
      </c>
      <c r="JD10" s="685" t="s">
        <v>1638</v>
      </c>
      <c r="JE10" s="633">
        <v>-997</v>
      </c>
      <c r="JF10" s="666">
        <v>44972</v>
      </c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2380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2447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2574</v>
      </c>
      <c r="IO11" s="615">
        <v>10</v>
      </c>
      <c r="IP11" s="350" t="s">
        <v>2584</v>
      </c>
      <c r="IQ11" s="61">
        <f>406.6+487.92</f>
        <v>894.52</v>
      </c>
      <c r="IR11" s="66" t="s">
        <v>1513</v>
      </c>
      <c r="IS11" s="272">
        <v>364</v>
      </c>
      <c r="IT11" s="623" t="s">
        <v>2687</v>
      </c>
      <c r="IU11" s="623">
        <v>25.58</v>
      </c>
      <c r="IV11" s="399" t="s">
        <v>2622</v>
      </c>
      <c r="IW11" s="575">
        <v>378.81</v>
      </c>
      <c r="IX11" s="625" t="s">
        <v>1846</v>
      </c>
      <c r="IY11" s="538">
        <v>2600</v>
      </c>
      <c r="JB11" s="249" t="s">
        <v>2685</v>
      </c>
      <c r="JC11" s="2"/>
      <c r="JD11" s="683" t="s">
        <v>1846</v>
      </c>
      <c r="JE11" s="688">
        <v>500</v>
      </c>
      <c r="JF11" s="665">
        <v>44977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2365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2423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2398</v>
      </c>
      <c r="IQ12" s="417">
        <f>IQ13*2</f>
        <v>1833.7466666666667</v>
      </c>
      <c r="IR12" s="66" t="s">
        <v>2521</v>
      </c>
      <c r="IS12" s="272">
        <v>803</v>
      </c>
      <c r="IV12" s="350" t="s">
        <v>2657</v>
      </c>
      <c r="IW12" s="576">
        <v>170</v>
      </c>
      <c r="IX12" s="626" t="s">
        <v>1513</v>
      </c>
      <c r="IY12" s="272">
        <v>983</v>
      </c>
      <c r="IZ12" s="681" t="s">
        <v>2440</v>
      </c>
      <c r="JA12" s="556"/>
      <c r="JB12" s="349" t="s">
        <v>2577</v>
      </c>
      <c r="JC12" s="2"/>
      <c r="JD12" s="686" t="s">
        <v>1513</v>
      </c>
      <c r="JE12" s="272">
        <v>817</v>
      </c>
      <c r="JF12" s="665">
        <v>44979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2356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2341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2403</v>
      </c>
      <c r="II13" s="556">
        <f>160+85</f>
        <v>245</v>
      </c>
      <c r="IJ13" s="350" t="s">
        <v>2474</v>
      </c>
      <c r="IK13">
        <f>139.5+131.4</f>
        <v>270.89999999999998</v>
      </c>
      <c r="IL13" s="66" t="s">
        <v>2436</v>
      </c>
      <c r="IM13" s="272">
        <v>869</v>
      </c>
      <c r="IN13" t="s">
        <v>2440</v>
      </c>
      <c r="IO13" s="556"/>
      <c r="IP13" s="349" t="s">
        <v>2580</v>
      </c>
      <c r="IQ13" s="417">
        <f>2750.62/3</f>
        <v>916.87333333333333</v>
      </c>
      <c r="IR13" s="258" t="s">
        <v>2585</v>
      </c>
      <c r="IS13" s="2">
        <v>142</v>
      </c>
      <c r="IV13" s="249" t="s">
        <v>2685</v>
      </c>
      <c r="IW13" s="2">
        <f>IW14*2</f>
        <v>2116.9666666666667</v>
      </c>
      <c r="IX13" s="626" t="s">
        <v>1514</v>
      </c>
      <c r="IY13" s="272">
        <v>618</v>
      </c>
      <c r="IZ13" s="681" t="s">
        <v>2172</v>
      </c>
      <c r="JA13" s="556"/>
      <c r="JB13" s="349" t="s">
        <v>2680</v>
      </c>
      <c r="JC13" s="61">
        <v>110.79</v>
      </c>
      <c r="JD13" s="686" t="s">
        <v>1514</v>
      </c>
      <c r="JE13" s="272">
        <v>1001</v>
      </c>
      <c r="JF13" s="665">
        <v>44979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1" t="s">
        <v>2194</v>
      </c>
      <c r="HK14" s="721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2667</v>
      </c>
      <c r="HY14" s="2">
        <f>-IA6</f>
        <v>420000</v>
      </c>
      <c r="HZ14" s="66" t="s">
        <v>1514</v>
      </c>
      <c r="IA14" s="145">
        <v>2028</v>
      </c>
      <c r="IB14" t="s">
        <v>2342</v>
      </c>
      <c r="IC14" s="534">
        <v>13.56</v>
      </c>
      <c r="ID14" s="554" t="s">
        <v>2399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2470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2494</v>
      </c>
      <c r="IS14" s="2" t="s">
        <v>2582</v>
      </c>
      <c r="IT14" s="623" t="s">
        <v>2440</v>
      </c>
      <c r="IU14" s="556"/>
      <c r="IV14" s="349" t="s">
        <v>2577</v>
      </c>
      <c r="IW14" s="2">
        <f>3175.45/3</f>
        <v>1058.4833333333333</v>
      </c>
      <c r="IX14" s="626" t="s">
        <v>2590</v>
      </c>
      <c r="IY14" s="680">
        <v>24</v>
      </c>
      <c r="IZ14" s="681" t="s">
        <v>2589</v>
      </c>
      <c r="JA14" s="534"/>
      <c r="JB14" s="349" t="s">
        <v>2184</v>
      </c>
      <c r="JD14" s="686" t="s">
        <v>2590</v>
      </c>
      <c r="JE14" s="680">
        <v>24</v>
      </c>
      <c r="JF14" s="665">
        <v>44972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61" t="s">
        <v>1512</v>
      </c>
      <c r="DP15" s="762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2355</v>
      </c>
      <c r="IC15" s="534"/>
      <c r="ID15" s="555" t="s">
        <v>2400</v>
      </c>
      <c r="IE15" s="276">
        <v>4000</v>
      </c>
      <c r="IF15" s="66" t="s">
        <v>2347</v>
      </c>
      <c r="IG15" s="2">
        <f>12000+100000+33000</f>
        <v>145000</v>
      </c>
      <c r="IH15" t="s">
        <v>2440</v>
      </c>
      <c r="II15" s="534"/>
      <c r="IJ15" s="249" t="s">
        <v>2398</v>
      </c>
      <c r="IK15" s="417">
        <f>IK16*2</f>
        <v>1833.7466666666667</v>
      </c>
      <c r="IL15" s="66" t="s">
        <v>1906</v>
      </c>
      <c r="IM15" s="272">
        <v>450</v>
      </c>
      <c r="IN15" t="s">
        <v>2481</v>
      </c>
      <c r="IO15" s="534">
        <v>12.4</v>
      </c>
      <c r="IP15" s="349" t="s">
        <v>2364</v>
      </c>
      <c r="IQ15" s="577">
        <v>119.64</v>
      </c>
      <c r="IR15" s="258" t="s">
        <v>2479</v>
      </c>
      <c r="IS15" s="2">
        <f>100*(120+1000+330+310)</f>
        <v>176000</v>
      </c>
      <c r="IT15" s="623" t="s">
        <v>2664</v>
      </c>
      <c r="IU15" s="556">
        <v>43</v>
      </c>
      <c r="IV15" s="349" t="s">
        <v>2596</v>
      </c>
      <c r="IW15" s="61">
        <v>47.54</v>
      </c>
      <c r="IX15" s="532" t="s">
        <v>2496</v>
      </c>
      <c r="IY15" s="246">
        <v>65005</v>
      </c>
      <c r="IZ15" s="681" t="s">
        <v>2684</v>
      </c>
      <c r="JB15" s="349" t="s">
        <v>2688</v>
      </c>
      <c r="JC15" s="577" t="s">
        <v>2693</v>
      </c>
      <c r="JD15" s="532" t="s">
        <v>2496</v>
      </c>
      <c r="JE15" s="246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2348</v>
      </c>
      <c r="IC16" s="540">
        <f>208.9*2</f>
        <v>417.8</v>
      </c>
      <c r="ID16" s="249" t="s">
        <v>2266</v>
      </c>
      <c r="IE16">
        <v>100</v>
      </c>
      <c r="IF16" s="66" t="s">
        <v>2346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2441</v>
      </c>
      <c r="IS16">
        <f>10502+14002</f>
        <v>24504</v>
      </c>
      <c r="IT16" s="623" t="s">
        <v>2589</v>
      </c>
      <c r="IU16" s="534">
        <v>7.57</v>
      </c>
      <c r="IV16" s="349" t="s">
        <v>2184</v>
      </c>
      <c r="IW16" s="623">
        <f>30+59.31</f>
        <v>89.31</v>
      </c>
      <c r="IX16" s="626" t="s">
        <v>2586</v>
      </c>
      <c r="IY16" s="664">
        <v>4175</v>
      </c>
      <c r="IZ16" s="681" t="s">
        <v>2658</v>
      </c>
      <c r="JA16" s="534"/>
      <c r="JB16" s="349" t="s">
        <v>1203</v>
      </c>
      <c r="JC16" s="61"/>
      <c r="JD16" s="686" t="s">
        <v>2586</v>
      </c>
      <c r="JE16" s="664">
        <v>1305</v>
      </c>
      <c r="JF16" s="665">
        <v>44980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2352</v>
      </c>
      <c r="IC17" s="542">
        <v>835.6</v>
      </c>
      <c r="ID17" s="249" t="s">
        <v>2398</v>
      </c>
      <c r="IE17" s="417">
        <f>IE18*2</f>
        <v>1833.7466666666667</v>
      </c>
      <c r="IF17" s="66" t="s">
        <v>2382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2465</v>
      </c>
      <c r="IL17" s="66" t="s">
        <v>2211</v>
      </c>
      <c r="IM17" s="2">
        <v>4000</v>
      </c>
      <c r="IN17" t="s">
        <v>2493</v>
      </c>
      <c r="IO17" s="535">
        <f>149.59*2</f>
        <v>299.18</v>
      </c>
      <c r="IP17" s="349" t="s">
        <v>2196</v>
      </c>
      <c r="IQ17" s="61">
        <v>18</v>
      </c>
      <c r="IR17" s="532" t="s">
        <v>2496</v>
      </c>
      <c r="IS17" s="246">
        <v>65005</v>
      </c>
      <c r="IT17" s="623" t="s">
        <v>2684</v>
      </c>
      <c r="IU17" s="623">
        <v>13.86</v>
      </c>
      <c r="IV17" s="349" t="s">
        <v>2694</v>
      </c>
      <c r="IW17" s="577">
        <v>110.02</v>
      </c>
      <c r="IX17" s="679" t="s">
        <v>2686</v>
      </c>
      <c r="IY17" s="272">
        <v>10</v>
      </c>
      <c r="JB17" s="349" t="s">
        <v>2196</v>
      </c>
      <c r="JC17" s="61"/>
      <c r="JD17" s="686" t="s">
        <v>2686</v>
      </c>
      <c r="JE17" s="272">
        <v>10</v>
      </c>
      <c r="JF17" s="665">
        <v>44972</v>
      </c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2349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2480</v>
      </c>
      <c r="II18" s="535">
        <v>17.73</v>
      </c>
      <c r="IJ18" s="349" t="s">
        <v>2184</v>
      </c>
      <c r="IK18" t="s">
        <v>2465</v>
      </c>
      <c r="IL18" s="258" t="s">
        <v>2442</v>
      </c>
      <c r="IM18" s="2">
        <f>100*(120+1000+330+310)</f>
        <v>176000</v>
      </c>
      <c r="IN18" t="s">
        <v>2526</v>
      </c>
      <c r="IO18">
        <v>3</v>
      </c>
      <c r="IP18" s="349" t="s">
        <v>2492</v>
      </c>
      <c r="IQ18" s="61">
        <v>42.65</v>
      </c>
      <c r="IR18" s="66" t="s">
        <v>2213</v>
      </c>
      <c r="IS18" s="272">
        <v>1143</v>
      </c>
      <c r="IT18" s="623" t="s">
        <v>2658</v>
      </c>
      <c r="IU18" s="534">
        <v>14</v>
      </c>
      <c r="IV18" s="349" t="s">
        <v>2196</v>
      </c>
      <c r="IW18" s="61">
        <f>9</f>
        <v>9</v>
      </c>
      <c r="IX18" s="627" t="s">
        <v>2581</v>
      </c>
      <c r="IY18" s="623">
        <v>190</v>
      </c>
      <c r="IZ18" s="411"/>
      <c r="JA18" s="552"/>
      <c r="JB18" s="349" t="s">
        <v>2492</v>
      </c>
      <c r="JC18" s="61">
        <v>96</v>
      </c>
      <c r="JD18" s="685" t="s">
        <v>2581</v>
      </c>
      <c r="JE18" s="681">
        <v>60</v>
      </c>
      <c r="JF18" s="665">
        <v>44979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61" t="s">
        <v>1482</v>
      </c>
      <c r="DJ19" s="762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2347</v>
      </c>
      <c r="IA19">
        <v>12000</v>
      </c>
      <c r="IB19" s="541" t="s">
        <v>2350</v>
      </c>
      <c r="IC19" s="542">
        <v>146.22999999999999</v>
      </c>
      <c r="ID19" s="349" t="s">
        <v>1958</v>
      </c>
      <c r="IE19" s="417">
        <v>16.18</v>
      </c>
      <c r="IF19" s="66" t="s">
        <v>2384</v>
      </c>
      <c r="IG19" s="2">
        <v>2234</v>
      </c>
      <c r="IH19" t="s">
        <v>2413</v>
      </c>
      <c r="II19" s="534">
        <v>35.67</v>
      </c>
      <c r="IJ19" s="349" t="s">
        <v>2364</v>
      </c>
      <c r="IK19">
        <v>114.44</v>
      </c>
      <c r="IL19" s="66" t="s">
        <v>2441</v>
      </c>
      <c r="IM19">
        <f>10502+14002</f>
        <v>24504</v>
      </c>
      <c r="IN19" t="s">
        <v>2587</v>
      </c>
      <c r="IO19" s="534">
        <v>5</v>
      </c>
      <c r="IP19" s="349" t="s">
        <v>2565</v>
      </c>
      <c r="IQ19" s="61">
        <f>IM29</f>
        <v>21.35</v>
      </c>
      <c r="IR19" s="1" t="s">
        <v>2483</v>
      </c>
      <c r="IS19">
        <v>170</v>
      </c>
      <c r="IT19" s="412" t="s">
        <v>2706</v>
      </c>
      <c r="IU19" s="552">
        <v>6</v>
      </c>
      <c r="IV19" s="349" t="s">
        <v>2394</v>
      </c>
      <c r="IW19" s="61">
        <f>15.7+10+18.29+10+10+15.09+18.53+17.55+15.01+10+16.79</f>
        <v>156.95999999999998</v>
      </c>
      <c r="IX19" s="629" t="s">
        <v>2482</v>
      </c>
      <c r="IY19" s="623">
        <v>2013</v>
      </c>
      <c r="IZ19" s="411"/>
      <c r="JA19" s="552"/>
      <c r="JB19" s="349" t="s">
        <v>2394</v>
      </c>
      <c r="JC19" s="61">
        <f>17.98</f>
        <v>17.98</v>
      </c>
      <c r="JD19" s="687" t="s">
        <v>2482</v>
      </c>
      <c r="JE19" s="681">
        <v>2013</v>
      </c>
      <c r="JF19" s="665">
        <v>44978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2346</v>
      </c>
      <c r="IB20" s="544" t="s">
        <v>2351</v>
      </c>
      <c r="IC20" s="545">
        <v>626.70000000000005</v>
      </c>
      <c r="ID20" s="349" t="s">
        <v>2184</v>
      </c>
      <c r="IE20" s="417" t="s">
        <v>2428</v>
      </c>
      <c r="IF20" s="66" t="s">
        <v>2276</v>
      </c>
      <c r="IG20" s="2">
        <v>60000</v>
      </c>
      <c r="IH20" t="s">
        <v>2416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2394</v>
      </c>
      <c r="IQ20" s="61">
        <f>17.6+10+15.04+18.67+17.63+10+18.43+12.51+10+16.42</f>
        <v>146.30000000000001</v>
      </c>
      <c r="IR20" s="565" t="s">
        <v>2522</v>
      </c>
      <c r="IT20" s="411"/>
      <c r="IU20" s="552"/>
      <c r="IV20" s="341" t="s">
        <v>2670</v>
      </c>
      <c r="IW20" s="61">
        <v>80</v>
      </c>
      <c r="IX20" s="628" t="s">
        <v>2508</v>
      </c>
      <c r="IZ20" s="412"/>
      <c r="JB20" s="341" t="s">
        <v>1871</v>
      </c>
      <c r="JC20" s="61"/>
      <c r="JD20" s="684" t="s">
        <v>2508</v>
      </c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2351</v>
      </c>
      <c r="IC21" s="549">
        <v>598.5</v>
      </c>
      <c r="ID21" s="349" t="s">
        <v>2429</v>
      </c>
      <c r="IE21" s="145">
        <v>137.03</v>
      </c>
      <c r="IF21" s="66" t="s">
        <v>2277</v>
      </c>
      <c r="IG21" s="2">
        <v>50001</v>
      </c>
      <c r="IH21" t="s">
        <v>2422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2552</v>
      </c>
      <c r="IQ21" s="61">
        <v>30</v>
      </c>
      <c r="IR21" s="7" t="s">
        <v>2482</v>
      </c>
      <c r="IS21">
        <v>2007</v>
      </c>
      <c r="IT21" s="411"/>
      <c r="IU21" s="552"/>
      <c r="IV21" s="341" t="s">
        <v>2661</v>
      </c>
      <c r="IW21" s="61">
        <v>42.51</v>
      </c>
      <c r="IX21" s="628"/>
      <c r="IZ21" s="710" t="s">
        <v>2179</v>
      </c>
      <c r="JA21" s="710"/>
      <c r="JB21" s="341" t="s">
        <v>2704</v>
      </c>
      <c r="JC21" s="61">
        <v>34</v>
      </c>
      <c r="JD21" s="684"/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54" t="s">
        <v>513</v>
      </c>
      <c r="N22" s="754"/>
      <c r="Q22" s="169" t="s">
        <v>371</v>
      </c>
      <c r="S22" s="754" t="s">
        <v>513</v>
      </c>
      <c r="T22" s="75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51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2349</v>
      </c>
      <c r="IC22" s="551">
        <f>19.95*3</f>
        <v>59.849999999999994</v>
      </c>
      <c r="ID22" s="349" t="s">
        <v>2364</v>
      </c>
      <c r="IE22">
        <v>167</v>
      </c>
      <c r="IF22" s="1" t="s">
        <v>2307</v>
      </c>
      <c r="IG22" s="276">
        <v>-80000</v>
      </c>
      <c r="IH22" t="s">
        <v>2445</v>
      </c>
      <c r="II22">
        <f>9.86*4</f>
        <v>39.44</v>
      </c>
      <c r="IJ22" s="349" t="s">
        <v>2273</v>
      </c>
      <c r="IK22">
        <v>64</v>
      </c>
      <c r="IL22" s="66" t="s">
        <v>2384</v>
      </c>
      <c r="IM22" s="272">
        <v>2190</v>
      </c>
      <c r="IN22" s="614"/>
      <c r="IO22" s="534"/>
      <c r="IP22" s="341" t="s">
        <v>2504</v>
      </c>
      <c r="IQ22" s="61">
        <v>10</v>
      </c>
      <c r="IR22" s="580" t="s">
        <v>2508</v>
      </c>
      <c r="IS22" s="579"/>
      <c r="IT22" s="412"/>
      <c r="IV22" s="341" t="s">
        <v>2678</v>
      </c>
      <c r="IW22" s="61">
        <v>45.98</v>
      </c>
      <c r="IX22" s="628" t="s">
        <v>2451</v>
      </c>
      <c r="IZ22" s="355" t="s">
        <v>1967</v>
      </c>
      <c r="JA22" s="290">
        <f>SUM(JC6:JC8)</f>
        <v>0</v>
      </c>
      <c r="JB22" s="341" t="s">
        <v>1871</v>
      </c>
      <c r="JC22" s="61"/>
      <c r="JD22" s="684" t="s">
        <v>2451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52" t="s">
        <v>997</v>
      </c>
      <c r="N23" s="752"/>
      <c r="Q23" s="169" t="s">
        <v>375</v>
      </c>
      <c r="S23" s="752" t="s">
        <v>997</v>
      </c>
      <c r="T23" s="752"/>
      <c r="W23" s="248" t="s">
        <v>1026</v>
      </c>
      <c r="X23" s="145">
        <v>0</v>
      </c>
      <c r="Y23" s="754" t="s">
        <v>513</v>
      </c>
      <c r="Z23" s="75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51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0" t="s">
        <v>2179</v>
      </c>
      <c r="HK23" s="710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0" t="s">
        <v>2179</v>
      </c>
      <c r="HW23" s="710"/>
      <c r="HX23" s="349" t="s">
        <v>2333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2446</v>
      </c>
      <c r="II23">
        <f>2.74+2.52+1.19*2</f>
        <v>7.64</v>
      </c>
      <c r="IJ23" s="349" t="s">
        <v>2394</v>
      </c>
      <c r="IK23" s="421">
        <f>20.75+15.85+16.8+10+21.56+17.42+14.05+10</f>
        <v>126.43</v>
      </c>
      <c r="IL23" s="1" t="s">
        <v>2478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2500</v>
      </c>
      <c r="IS23" s="282"/>
      <c r="IT23" s="710" t="s">
        <v>2179</v>
      </c>
      <c r="IU23" s="710"/>
      <c r="IV23" s="341" t="s">
        <v>2681</v>
      </c>
      <c r="IW23" s="61">
        <v>45.2</v>
      </c>
      <c r="IX23" s="677"/>
      <c r="IY23" s="635"/>
      <c r="IZ23" s="249" t="s">
        <v>1968</v>
      </c>
      <c r="JA23" s="290">
        <f>SUM(JC11:JC11)</f>
        <v>0</v>
      </c>
      <c r="JB23" s="341" t="s">
        <v>1871</v>
      </c>
      <c r="JC23" s="61"/>
      <c r="JD23" s="684"/>
      <c r="JE23" s="684"/>
    </row>
    <row r="24" spans="1:266" x14ac:dyDescent="0.25">
      <c r="A24" s="754" t="s">
        <v>513</v>
      </c>
      <c r="B24" s="754"/>
      <c r="E24" s="167" t="s">
        <v>237</v>
      </c>
      <c r="F24" s="169"/>
      <c r="G24" s="754" t="s">
        <v>513</v>
      </c>
      <c r="H24" s="754"/>
      <c r="K24" s="248" t="s">
        <v>1026</v>
      </c>
      <c r="L24" s="145">
        <v>0</v>
      </c>
      <c r="M24" s="731"/>
      <c r="N24" s="731"/>
      <c r="Q24" s="169" t="s">
        <v>1063</v>
      </c>
      <c r="S24" s="731"/>
      <c r="T24" s="731"/>
      <c r="W24" s="248" t="s">
        <v>1034</v>
      </c>
      <c r="X24" s="208">
        <v>0</v>
      </c>
      <c r="Y24" s="752" t="s">
        <v>997</v>
      </c>
      <c r="Z24" s="752"/>
      <c r="AC24"/>
      <c r="AE24" s="754" t="s">
        <v>513</v>
      </c>
      <c r="AF24" s="754"/>
      <c r="AI24"/>
      <c r="AK24" s="754" t="s">
        <v>513</v>
      </c>
      <c r="AL24" s="75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50" t="s">
        <v>1544</v>
      </c>
      <c r="EF24" s="750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51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51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2461</v>
      </c>
      <c r="IK24">
        <v>60</v>
      </c>
      <c r="IL24" s="567" t="s">
        <v>2482</v>
      </c>
      <c r="IM24">
        <v>1004</v>
      </c>
      <c r="IN24" s="614"/>
      <c r="IO24" s="534"/>
      <c r="IP24" s="341" t="s">
        <v>2501</v>
      </c>
      <c r="IQ24" s="61">
        <v>40.5</v>
      </c>
      <c r="IR24" s="581" t="s">
        <v>2510</v>
      </c>
      <c r="IS24" s="579">
        <v>28</v>
      </c>
      <c r="IT24" s="355" t="s">
        <v>1967</v>
      </c>
      <c r="IU24" s="290">
        <f>SUM(IW6:IW8)</f>
        <v>3911.02</v>
      </c>
      <c r="IV24" s="341" t="s">
        <v>2679</v>
      </c>
      <c r="IW24" s="61">
        <v>54.7</v>
      </c>
      <c r="IX24" s="546"/>
      <c r="IZ24" s="366" t="s">
        <v>1400</v>
      </c>
      <c r="JA24" s="681">
        <f>SUM(JC9:JC9)</f>
        <v>454.04</v>
      </c>
      <c r="JB24" s="341" t="s">
        <v>1871</v>
      </c>
      <c r="JC24" s="61"/>
      <c r="JD24" s="546"/>
    </row>
    <row r="25" spans="1:266" x14ac:dyDescent="0.25">
      <c r="A25" s="752" t="s">
        <v>997</v>
      </c>
      <c r="B25" s="752"/>
      <c r="E25" s="167" t="s">
        <v>139</v>
      </c>
      <c r="F25" s="169"/>
      <c r="G25" s="752" t="s">
        <v>997</v>
      </c>
      <c r="H25" s="752"/>
      <c r="K25" s="248" t="s">
        <v>1034</v>
      </c>
      <c r="L25" s="208">
        <v>0</v>
      </c>
      <c r="M25" s="731"/>
      <c r="N25" s="731"/>
      <c r="Q25" s="248" t="s">
        <v>1036</v>
      </c>
      <c r="R25" s="145">
        <v>0</v>
      </c>
      <c r="S25" s="731"/>
      <c r="T25" s="731"/>
      <c r="W25" s="248" t="s">
        <v>1057</v>
      </c>
      <c r="X25" s="145">
        <v>910.17</v>
      </c>
      <c r="Y25" s="731"/>
      <c r="Z25" s="731"/>
      <c r="AC25" s="252" t="s">
        <v>1090</v>
      </c>
      <c r="AD25" s="145">
        <v>90</v>
      </c>
      <c r="AE25" s="752" t="s">
        <v>997</v>
      </c>
      <c r="AF25" s="752"/>
      <c r="AI25" s="249" t="s">
        <v>1108</v>
      </c>
      <c r="AJ25" s="145">
        <v>30</v>
      </c>
      <c r="AK25" s="752" t="s">
        <v>997</v>
      </c>
      <c r="AL25" s="75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52"/>
      <c r="BH25" s="752"/>
      <c r="BK25" s="270" t="s">
        <v>1230</v>
      </c>
      <c r="BL25" s="208">
        <v>48.54</v>
      </c>
      <c r="BM25" s="752"/>
      <c r="BN25" s="752"/>
      <c r="BQ25" s="270" t="s">
        <v>1058</v>
      </c>
      <c r="BR25" s="208">
        <v>50.15</v>
      </c>
      <c r="BS25" s="752" t="s">
        <v>1253</v>
      </c>
      <c r="BT25" s="752"/>
      <c r="BW25" s="270" t="s">
        <v>1058</v>
      </c>
      <c r="BX25" s="208">
        <v>48.54</v>
      </c>
      <c r="BY25" s="752"/>
      <c r="BZ25" s="752"/>
      <c r="CC25" s="270" t="s">
        <v>1058</v>
      </c>
      <c r="CD25" s="208">
        <v>142.91</v>
      </c>
      <c r="CE25" s="752"/>
      <c r="CF25" s="752"/>
      <c r="CI25" s="270" t="s">
        <v>1320</v>
      </c>
      <c r="CJ25" s="208">
        <v>35.049999999999997</v>
      </c>
      <c r="CK25" s="731"/>
      <c r="CL25" s="731"/>
      <c r="CO25" s="270" t="s">
        <v>1294</v>
      </c>
      <c r="CP25" s="208">
        <v>153.41</v>
      </c>
      <c r="CQ25" s="731" t="s">
        <v>1335</v>
      </c>
      <c r="CR25" s="731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51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2332</v>
      </c>
      <c r="HY25">
        <f>10+10</f>
        <v>20</v>
      </c>
      <c r="HZ25" s="1" t="s">
        <v>2278</v>
      </c>
      <c r="IA25" s="482">
        <v>-13000</v>
      </c>
      <c r="IB25" s="710" t="s">
        <v>2179</v>
      </c>
      <c r="IC25" s="710"/>
      <c r="ID25" s="349" t="s">
        <v>2273</v>
      </c>
      <c r="IE25">
        <v>32</v>
      </c>
      <c r="IF25" s="569" t="s">
        <v>2484</v>
      </c>
      <c r="IG25" s="568">
        <v>4</v>
      </c>
      <c r="IH25" t="s">
        <v>2355</v>
      </c>
      <c r="II25" s="534"/>
      <c r="IJ25" s="341" t="s">
        <v>2415</v>
      </c>
      <c r="IK25">
        <v>10</v>
      </c>
      <c r="IL25" s="569" t="s">
        <v>2484</v>
      </c>
      <c r="IM25" s="568">
        <v>4</v>
      </c>
      <c r="IN25" s="588"/>
      <c r="IO25" s="534"/>
      <c r="IP25" s="341" t="s">
        <v>2514</v>
      </c>
      <c r="IQ25" s="61">
        <v>88.51</v>
      </c>
      <c r="IR25" s="590" t="s">
        <v>2527</v>
      </c>
      <c r="IS25" s="589" t="s">
        <v>2569</v>
      </c>
      <c r="IT25" s="249" t="s">
        <v>1968</v>
      </c>
      <c r="IU25" s="290">
        <f>SUM(IW13:IW13)</f>
        <v>2116.9666666666667</v>
      </c>
      <c r="IV25" s="623" t="s">
        <v>2506</v>
      </c>
      <c r="IW25" s="78">
        <f>2+59+11+23</f>
        <v>95</v>
      </c>
      <c r="IX25" s="546"/>
      <c r="IY25" s="636"/>
      <c r="IZ25" s="350" t="s">
        <v>2174</v>
      </c>
      <c r="JA25" s="681">
        <f>SUM(JC10:JC10)</f>
        <v>52.89</v>
      </c>
      <c r="JB25" s="681" t="s">
        <v>2506</v>
      </c>
      <c r="JC25" s="78"/>
      <c r="JD25" s="546"/>
    </row>
    <row r="26" spans="1:266" x14ac:dyDescent="0.25">
      <c r="A26" s="731"/>
      <c r="B26" s="731"/>
      <c r="E26" s="201" t="s">
        <v>368</v>
      </c>
      <c r="F26" s="173"/>
      <c r="G26" s="731"/>
      <c r="H26" s="731"/>
      <c r="K26" s="248" t="s">
        <v>1025</v>
      </c>
      <c r="L26" s="145">
        <f>910+40</f>
        <v>950</v>
      </c>
      <c r="M26" s="731"/>
      <c r="N26" s="731"/>
      <c r="Q26" s="248" t="s">
        <v>1033</v>
      </c>
      <c r="R26" s="145">
        <v>0</v>
      </c>
      <c r="S26" s="731"/>
      <c r="T26" s="731"/>
      <c r="W26" s="146" t="s">
        <v>1092</v>
      </c>
      <c r="X26" s="145">
        <v>110.58</v>
      </c>
      <c r="Y26" s="731"/>
      <c r="Z26" s="731"/>
      <c r="AE26" s="731"/>
      <c r="AF26" s="731"/>
      <c r="AK26" s="731"/>
      <c r="AL26" s="731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1"/>
      <c r="AX26" s="731"/>
      <c r="AY26" s="146"/>
      <c r="AZ26" s="208"/>
      <c r="BA26" s="731"/>
      <c r="BB26" s="731"/>
      <c r="BE26" s="146" t="s">
        <v>1203</v>
      </c>
      <c r="BF26" s="208">
        <f>6.5*2</f>
        <v>13</v>
      </c>
      <c r="BG26" s="731"/>
      <c r="BH26" s="731"/>
      <c r="BK26" s="270" t="s">
        <v>1203</v>
      </c>
      <c r="BL26" s="208">
        <f>6.5*2</f>
        <v>13</v>
      </c>
      <c r="BM26" s="731"/>
      <c r="BN26" s="731"/>
      <c r="BQ26" s="270" t="s">
        <v>1203</v>
      </c>
      <c r="BR26" s="208">
        <v>13</v>
      </c>
      <c r="BS26" s="731"/>
      <c r="BT26" s="731"/>
      <c r="BW26" s="270" t="s">
        <v>1203</v>
      </c>
      <c r="BX26" s="208">
        <v>13</v>
      </c>
      <c r="BY26" s="731"/>
      <c r="BZ26" s="731"/>
      <c r="CC26" s="270" t="s">
        <v>1203</v>
      </c>
      <c r="CD26" s="208">
        <v>13</v>
      </c>
      <c r="CE26" s="731"/>
      <c r="CF26" s="731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67" t="s">
        <v>1544</v>
      </c>
      <c r="DZ26" s="768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50" t="s">
        <v>1544</v>
      </c>
      <c r="ES26" s="750"/>
      <c r="ET26" s="1" t="s">
        <v>1711</v>
      </c>
      <c r="EU26" s="276">
        <v>20000</v>
      </c>
      <c r="EW26" s="751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2484</v>
      </c>
      <c r="HU26" s="568">
        <v>4</v>
      </c>
      <c r="HV26" s="350" t="s">
        <v>2174</v>
      </c>
      <c r="HW26">
        <f>SUM(HY9:HY9)</f>
        <v>535</v>
      </c>
      <c r="HX26" s="341" t="s">
        <v>2396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2394</v>
      </c>
      <c r="IE26" s="421">
        <f>11.74+10+9.21+17.04+10+12.34+15.71+10+15.63+10</f>
        <v>121.66999999999999</v>
      </c>
      <c r="IF26" s="6" t="s">
        <v>2368</v>
      </c>
      <c r="IG26" s="276"/>
      <c r="IH26" s="412" t="s">
        <v>2417</v>
      </c>
      <c r="II26" s="552">
        <v>19.45</v>
      </c>
      <c r="IJ26" s="341" t="s">
        <v>2475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2512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349" t="s">
        <v>2175</v>
      </c>
      <c r="JA26" s="421">
        <f>SUM(JC12:JC19)</f>
        <v>224.77</v>
      </c>
      <c r="JB26" s="9" t="s">
        <v>2205</v>
      </c>
      <c r="JC26" s="577"/>
      <c r="JD26" s="684"/>
    </row>
    <row r="27" spans="1:266" x14ac:dyDescent="0.25">
      <c r="A27" s="731"/>
      <c r="B27" s="731"/>
      <c r="F27" s="197"/>
      <c r="G27" s="731"/>
      <c r="H27" s="731"/>
      <c r="K27"/>
      <c r="M27" s="757" t="s">
        <v>512</v>
      </c>
      <c r="N27" s="757"/>
      <c r="Q27" s="248" t="s">
        <v>1026</v>
      </c>
      <c r="R27" s="145">
        <v>0</v>
      </c>
      <c r="S27" s="757" t="s">
        <v>512</v>
      </c>
      <c r="T27" s="757"/>
      <c r="W27" s="146" t="s">
        <v>1058</v>
      </c>
      <c r="X27" s="145">
        <v>60.75</v>
      </c>
      <c r="Y27" s="731"/>
      <c r="Z27" s="731"/>
      <c r="AC27" s="222" t="s">
        <v>1099</v>
      </c>
      <c r="AD27" s="222"/>
      <c r="AE27" s="757" t="s">
        <v>512</v>
      </c>
      <c r="AF27" s="75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50" t="s">
        <v>1544</v>
      </c>
      <c r="EY27" s="750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0" t="s">
        <v>2179</v>
      </c>
      <c r="HQ27" s="710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2334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2388</v>
      </c>
      <c r="IE27">
        <v>30</v>
      </c>
      <c r="IF27" s="546" t="s">
        <v>2385</v>
      </c>
      <c r="IG27" s="282">
        <v>127</v>
      </c>
      <c r="IH27" s="412" t="s">
        <v>2418</v>
      </c>
      <c r="II27" s="552">
        <v>19.45</v>
      </c>
      <c r="IJ27" s="341" t="s">
        <v>2462</v>
      </c>
      <c r="IK27">
        <v>6.8</v>
      </c>
      <c r="IL27" s="257" t="s">
        <v>2432</v>
      </c>
      <c r="IM27">
        <v>41</v>
      </c>
      <c r="IN27" s="412"/>
      <c r="IO27" s="552"/>
      <c r="IP27" s="341" t="s">
        <v>2513</v>
      </c>
      <c r="IQ27" s="61">
        <v>23.42</v>
      </c>
      <c r="IR27" s="546" t="s">
        <v>2509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41" t="s">
        <v>2173</v>
      </c>
      <c r="JA27" s="681">
        <f>SUM(JC20:JC24)</f>
        <v>34</v>
      </c>
      <c r="JB27" s="422">
        <v>22.7</v>
      </c>
      <c r="JC27" s="577"/>
      <c r="JD27" s="681" t="s">
        <v>512</v>
      </c>
    </row>
    <row r="28" spans="1:266" x14ac:dyDescent="0.25">
      <c r="A28" s="731"/>
      <c r="B28" s="731"/>
      <c r="E28" s="196" t="s">
        <v>366</v>
      </c>
      <c r="F28" s="197"/>
      <c r="G28" s="731"/>
      <c r="H28" s="731"/>
      <c r="K28" s="146" t="s">
        <v>1024</v>
      </c>
      <c r="L28" s="145">
        <f>60</f>
        <v>60</v>
      </c>
      <c r="M28" s="757" t="s">
        <v>999</v>
      </c>
      <c r="N28" s="757"/>
      <c r="Q28" s="248" t="s">
        <v>1080</v>
      </c>
      <c r="R28" s="208">
        <v>200</v>
      </c>
      <c r="S28" s="757" t="s">
        <v>999</v>
      </c>
      <c r="T28" s="757"/>
      <c r="W28" s="146" t="s">
        <v>1023</v>
      </c>
      <c r="X28" s="145">
        <v>61.35</v>
      </c>
      <c r="Y28" s="757" t="s">
        <v>512</v>
      </c>
      <c r="Z28" s="757"/>
      <c r="AC28" s="222" t="s">
        <v>1095</v>
      </c>
      <c r="AD28" s="222">
        <f>53+207+63</f>
        <v>323</v>
      </c>
      <c r="AE28" s="757" t="s">
        <v>999</v>
      </c>
      <c r="AF28" s="757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50" t="s">
        <v>1755</v>
      </c>
      <c r="FE28" s="750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2362</v>
      </c>
      <c r="IE28">
        <v>329.76</v>
      </c>
      <c r="IF28" s="257" t="s">
        <v>2383</v>
      </c>
      <c r="IG28" s="282">
        <v>111</v>
      </c>
      <c r="IH28" s="412" t="s">
        <v>2419</v>
      </c>
      <c r="II28" s="552">
        <v>19.45</v>
      </c>
      <c r="IJ28" s="341" t="s">
        <v>2431</v>
      </c>
      <c r="IK28">
        <f>3.8*2+9.9</f>
        <v>17.5</v>
      </c>
      <c r="IL28" s="257" t="s">
        <v>2451</v>
      </c>
      <c r="IN28" s="412"/>
      <c r="IO28" s="552"/>
      <c r="IP28" s="341" t="s">
        <v>2518</v>
      </c>
      <c r="IQ28" s="61">
        <v>61.71</v>
      </c>
      <c r="IR28" s="257" t="s">
        <v>2451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JB28" s="396" t="s">
        <v>1419</v>
      </c>
      <c r="JC28" s="418">
        <f>IY18+JA29-JE18</f>
        <v>130</v>
      </c>
      <c r="JD28" s="9" t="s">
        <v>1874</v>
      </c>
    </row>
    <row r="29" spans="1:266" x14ac:dyDescent="0.25">
      <c r="A29" s="757" t="s">
        <v>512</v>
      </c>
      <c r="B29" s="757"/>
      <c r="E29" s="196" t="s">
        <v>282</v>
      </c>
      <c r="F29" s="197"/>
      <c r="G29" s="757" t="s">
        <v>512</v>
      </c>
      <c r="H29" s="757"/>
      <c r="K29" s="146" t="s">
        <v>1023</v>
      </c>
      <c r="L29" s="145">
        <v>0</v>
      </c>
      <c r="M29" s="756" t="s">
        <v>93</v>
      </c>
      <c r="N29" s="756"/>
      <c r="Q29" s="248" t="s">
        <v>1057</v>
      </c>
      <c r="R29" s="145">
        <v>0</v>
      </c>
      <c r="S29" s="756" t="s">
        <v>93</v>
      </c>
      <c r="T29" s="756"/>
      <c r="W29" s="146" t="s">
        <v>1022</v>
      </c>
      <c r="X29" s="145">
        <v>64</v>
      </c>
      <c r="Y29" s="757" t="s">
        <v>999</v>
      </c>
      <c r="Z29" s="757"/>
      <c r="AC29" s="222" t="s">
        <v>1096</v>
      </c>
      <c r="AD29" s="222">
        <f>63+46</f>
        <v>109</v>
      </c>
      <c r="AE29" s="756" t="s">
        <v>93</v>
      </c>
      <c r="AF29" s="75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50" t="s">
        <v>1544</v>
      </c>
      <c r="EM29" s="750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2653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2361</v>
      </c>
      <c r="IE29">
        <v>80</v>
      </c>
      <c r="IF29" s="257" t="s">
        <v>2271</v>
      </c>
      <c r="IG29" s="282"/>
      <c r="IH29" s="411" t="s">
        <v>2420</v>
      </c>
      <c r="II29" s="552">
        <f>19.45*3</f>
        <v>58.349999999999994</v>
      </c>
      <c r="IJ29" s="341" t="s">
        <v>2464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2523</v>
      </c>
      <c r="IQ29" s="61">
        <v>23.1</v>
      </c>
      <c r="IR29" s="573" t="s">
        <v>2488</v>
      </c>
      <c r="IS29" s="572" t="s">
        <v>2489</v>
      </c>
      <c r="IT29" s="341" t="s">
        <v>2173</v>
      </c>
      <c r="IU29" s="623">
        <f>SUM(IW20:IW24)</f>
        <v>268.39</v>
      </c>
      <c r="IV29" s="419">
        <v>5</v>
      </c>
      <c r="IW29" s="586" t="s">
        <v>2591</v>
      </c>
      <c r="IX29" s="623" t="s">
        <v>93</v>
      </c>
      <c r="IZ29" s="682"/>
      <c r="JA29" s="357"/>
      <c r="JB29" s="419">
        <v>50</v>
      </c>
      <c r="JC29" s="586" t="s">
        <v>2699</v>
      </c>
      <c r="JD29" s="681" t="s">
        <v>93</v>
      </c>
    </row>
    <row r="30" spans="1:266" x14ac:dyDescent="0.25">
      <c r="A30" s="757" t="s">
        <v>999</v>
      </c>
      <c r="B30" s="757"/>
      <c r="E30" s="196" t="s">
        <v>378</v>
      </c>
      <c r="F30" s="197"/>
      <c r="G30" s="757" t="s">
        <v>999</v>
      </c>
      <c r="H30" s="757"/>
      <c r="K30" s="146" t="s">
        <v>1022</v>
      </c>
      <c r="L30" s="145">
        <v>64</v>
      </c>
      <c r="M30" s="731" t="s">
        <v>391</v>
      </c>
      <c r="N30" s="731"/>
      <c r="Q30"/>
      <c r="S30" s="731" t="s">
        <v>391</v>
      </c>
      <c r="T30" s="731"/>
      <c r="W30" s="146" t="s">
        <v>1021</v>
      </c>
      <c r="X30" s="145">
        <v>100.01</v>
      </c>
      <c r="Y30" s="756" t="s">
        <v>93</v>
      </c>
      <c r="Z30" s="756"/>
      <c r="AC30" s="145" t="s">
        <v>1094</v>
      </c>
      <c r="AD30" s="145">
        <v>65</v>
      </c>
      <c r="AE30" s="731" t="s">
        <v>391</v>
      </c>
      <c r="AF30" s="731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50" t="s">
        <v>1755</v>
      </c>
      <c r="FK30" s="750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2484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2390</v>
      </c>
      <c r="IE30">
        <v>62</v>
      </c>
      <c r="IF30" s="410" t="s">
        <v>2272</v>
      </c>
      <c r="IG30" s="483">
        <v>21.35</v>
      </c>
      <c r="IH30" s="411" t="s">
        <v>2421</v>
      </c>
      <c r="II30" s="552">
        <f>19.45*25</f>
        <v>486.25</v>
      </c>
      <c r="IJ30" s="341" t="s">
        <v>2463</v>
      </c>
      <c r="IK30">
        <v>34</v>
      </c>
      <c r="IL30" s="571" t="s">
        <v>2486</v>
      </c>
      <c r="IM30">
        <v>1.49</v>
      </c>
      <c r="IN30" s="411"/>
      <c r="IO30" s="552"/>
      <c r="IP30" s="341" t="s">
        <v>2592</v>
      </c>
      <c r="IQ30" s="61" t="s">
        <v>2593</v>
      </c>
      <c r="IR30" s="585"/>
      <c r="IS30" s="570"/>
      <c r="IV30" s="419">
        <v>50</v>
      </c>
      <c r="IW30" s="586" t="s">
        <v>1836</v>
      </c>
      <c r="IX30" s="623" t="s">
        <v>2409</v>
      </c>
      <c r="JB30" s="419">
        <v>15</v>
      </c>
      <c r="JC30" s="586" t="s">
        <v>2705</v>
      </c>
      <c r="JD30" s="681" t="s">
        <v>2409</v>
      </c>
    </row>
    <row r="31" spans="1:266" ht="12.75" customHeight="1" x14ac:dyDescent="0.25">
      <c r="A31" s="756" t="s">
        <v>93</v>
      </c>
      <c r="B31" s="756"/>
      <c r="E31" s="196" t="s">
        <v>1014</v>
      </c>
      <c r="F31" s="173"/>
      <c r="G31" s="756" t="s">
        <v>93</v>
      </c>
      <c r="H31" s="756"/>
      <c r="K31" s="146" t="s">
        <v>1021</v>
      </c>
      <c r="L31" s="145">
        <v>50.01</v>
      </c>
      <c r="M31" s="755" t="s">
        <v>1008</v>
      </c>
      <c r="N31" s="755"/>
      <c r="Q31" s="146" t="s">
        <v>1059</v>
      </c>
      <c r="R31" s="145">
        <v>26</v>
      </c>
      <c r="S31" s="755" t="s">
        <v>1008</v>
      </c>
      <c r="T31" s="755"/>
      <c r="W31"/>
      <c r="Y31" s="731" t="s">
        <v>391</v>
      </c>
      <c r="Z31" s="731"/>
      <c r="AC31" s="145" t="s">
        <v>1097</v>
      </c>
      <c r="AD31" s="145">
        <v>10</v>
      </c>
      <c r="AE31" s="755" t="s">
        <v>1008</v>
      </c>
      <c r="AF31" s="75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2397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2472</v>
      </c>
      <c r="IK31">
        <f>22+32.4</f>
        <v>54.4</v>
      </c>
      <c r="IL31" s="257"/>
      <c r="IM31" s="282"/>
      <c r="IN31" s="412"/>
      <c r="IP31" s="341" t="s">
        <v>2551</v>
      </c>
      <c r="IQ31" s="61">
        <v>42.17</v>
      </c>
      <c r="IR31" s="587"/>
      <c r="IT31" s="624" t="s">
        <v>2594</v>
      </c>
      <c r="IU31" s="357">
        <v>90</v>
      </c>
      <c r="IV31" s="419">
        <v>10</v>
      </c>
      <c r="IW31" s="586" t="s">
        <v>2683</v>
      </c>
      <c r="IX31" s="623" t="s">
        <v>1682</v>
      </c>
      <c r="JB31" s="419">
        <v>30</v>
      </c>
      <c r="JC31" s="586" t="s">
        <v>2722</v>
      </c>
      <c r="JD31" s="681" t="s">
        <v>1682</v>
      </c>
    </row>
    <row r="32" spans="1:266" x14ac:dyDescent="0.25">
      <c r="A32" s="731" t="s">
        <v>391</v>
      </c>
      <c r="B32" s="731"/>
      <c r="E32" s="173"/>
      <c r="F32" s="173"/>
      <c r="G32" s="731" t="s">
        <v>391</v>
      </c>
      <c r="H32" s="731"/>
      <c r="K32"/>
      <c r="M32" s="752" t="s">
        <v>243</v>
      </c>
      <c r="N32" s="752"/>
      <c r="Q32" s="146" t="s">
        <v>1058</v>
      </c>
      <c r="R32" s="145">
        <v>55</v>
      </c>
      <c r="S32" s="752" t="s">
        <v>243</v>
      </c>
      <c r="T32" s="752"/>
      <c r="W32" s="247" t="s">
        <v>1079</v>
      </c>
      <c r="X32" s="247">
        <v>0</v>
      </c>
      <c r="Y32" s="755" t="s">
        <v>1008</v>
      </c>
      <c r="Z32" s="755"/>
      <c r="AE32" s="752" t="s">
        <v>243</v>
      </c>
      <c r="AF32" s="75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60" t="s">
        <v>1446</v>
      </c>
      <c r="DP32" s="760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2653</v>
      </c>
      <c r="IC32" s="660">
        <f>SUM(IE52:IE56)</f>
        <v>235.25000000000003</v>
      </c>
      <c r="ID32" s="341" t="s">
        <v>2392</v>
      </c>
      <c r="IE32">
        <f>40.3+11+11.4+19.2</f>
        <v>81.899999999999991</v>
      </c>
      <c r="IF32" s="257" t="s">
        <v>2402</v>
      </c>
      <c r="IG32" s="282">
        <v>146</v>
      </c>
      <c r="IH32" s="411"/>
      <c r="II32" s="552"/>
      <c r="IJ32" s="341" t="s">
        <v>2473</v>
      </c>
      <c r="IK32">
        <f>10.1+8+57.3+1.6</f>
        <v>77</v>
      </c>
      <c r="IL32" t="s">
        <v>512</v>
      </c>
      <c r="IN32" s="710" t="s">
        <v>2179</v>
      </c>
      <c r="IO32" s="710"/>
      <c r="IP32" s="341" t="s">
        <v>2583</v>
      </c>
      <c r="IQ32" s="61">
        <v>6.5</v>
      </c>
      <c r="IR32" t="s">
        <v>512</v>
      </c>
      <c r="IV32" s="668" t="s">
        <v>2663</v>
      </c>
      <c r="IW32" s="575">
        <v>70</v>
      </c>
      <c r="IX32" s="623" t="s">
        <v>1041</v>
      </c>
      <c r="JA32" s="536"/>
      <c r="JB32" s="419"/>
      <c r="JC32" s="586"/>
      <c r="JD32" s="681" t="s">
        <v>1041</v>
      </c>
    </row>
    <row r="33" spans="1:263" x14ac:dyDescent="0.25">
      <c r="A33" s="755" t="s">
        <v>1008</v>
      </c>
      <c r="B33" s="755"/>
      <c r="C33" s="3"/>
      <c r="D33" s="3"/>
      <c r="E33" s="250"/>
      <c r="F33" s="250"/>
      <c r="G33" s="755" t="s">
        <v>1008</v>
      </c>
      <c r="H33" s="755"/>
      <c r="K33" s="247" t="s">
        <v>1028</v>
      </c>
      <c r="L33" s="247"/>
      <c r="M33" s="758" t="s">
        <v>1041</v>
      </c>
      <c r="N33" s="758"/>
      <c r="Q33" s="146" t="s">
        <v>1023</v>
      </c>
      <c r="R33" s="145">
        <v>77.239999999999995</v>
      </c>
      <c r="S33" s="758" t="s">
        <v>1041</v>
      </c>
      <c r="T33" s="758"/>
      <c r="Y33" s="752" t="s">
        <v>243</v>
      </c>
      <c r="Z33" s="752"/>
      <c r="AC33" s="200" t="s">
        <v>1019</v>
      </c>
      <c r="AD33" s="145">
        <v>350</v>
      </c>
      <c r="AE33" s="758" t="s">
        <v>1041</v>
      </c>
      <c r="AF33" s="75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3" t="s">
        <v>1419</v>
      </c>
      <c r="DB33" s="764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2366</v>
      </c>
      <c r="IE33">
        <v>30.01</v>
      </c>
      <c r="IH33" s="411"/>
      <c r="II33" s="552"/>
      <c r="IJ33" s="341" t="s">
        <v>2434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2506</v>
      </c>
      <c r="IQ33" s="78">
        <v>40</v>
      </c>
      <c r="IR33" t="s">
        <v>93</v>
      </c>
      <c r="IV33" s="546" t="s">
        <v>2635</v>
      </c>
      <c r="IW33" s="623">
        <v>8.67</v>
      </c>
      <c r="JA33" s="536"/>
      <c r="JB33" s="668" t="s">
        <v>2724</v>
      </c>
      <c r="JC33" s="575">
        <v>18</v>
      </c>
    </row>
    <row r="34" spans="1:263" x14ac:dyDescent="0.25">
      <c r="A34" s="752" t="s">
        <v>243</v>
      </c>
      <c r="B34" s="752"/>
      <c r="E34" s="173"/>
      <c r="F34" s="173"/>
      <c r="G34" s="752" t="s">
        <v>243</v>
      </c>
      <c r="H34" s="75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58" t="s">
        <v>1041</v>
      </c>
      <c r="Z34" s="75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2376</v>
      </c>
      <c r="IE34">
        <v>40.840000000000003</v>
      </c>
      <c r="IF34" t="s">
        <v>512</v>
      </c>
      <c r="IH34" s="411"/>
      <c r="II34" s="552"/>
      <c r="IJ34" s="341" t="s">
        <v>2466</v>
      </c>
      <c r="IK34">
        <v>84.86</v>
      </c>
      <c r="IL34" t="s">
        <v>2409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2409</v>
      </c>
      <c r="IU34" s="536"/>
      <c r="IV34" s="546" t="s">
        <v>2635</v>
      </c>
      <c r="IW34" s="576">
        <v>23.08</v>
      </c>
      <c r="JA34" s="537"/>
      <c r="JB34" s="546"/>
    </row>
    <row r="35" spans="1:263" ht="14.25" customHeight="1" x14ac:dyDescent="0.3">
      <c r="A35" s="759" t="s">
        <v>348</v>
      </c>
      <c r="B35" s="759"/>
      <c r="E35" s="190" t="s">
        <v>374</v>
      </c>
      <c r="F35" s="173"/>
      <c r="G35" s="759" t="s">
        <v>348</v>
      </c>
      <c r="H35" s="75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2386</v>
      </c>
      <c r="IE35">
        <v>47.96</v>
      </c>
      <c r="IF35" t="s">
        <v>93</v>
      </c>
      <c r="IH35" s="411"/>
      <c r="II35" s="552"/>
      <c r="IJ35" s="341" t="s">
        <v>2468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2648</v>
      </c>
      <c r="IW35" s="576">
        <v>6.37</v>
      </c>
      <c r="JB35" s="546"/>
      <c r="JC35" s="576"/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2331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2467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2662</v>
      </c>
      <c r="IW36" s="576">
        <v>104.35</v>
      </c>
      <c r="JB36" s="546"/>
      <c r="JC36" s="576"/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65" t="s">
        <v>1544</v>
      </c>
      <c r="DT37" s="766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2507</v>
      </c>
      <c r="IV37" s="546" t="s">
        <v>2662</v>
      </c>
      <c r="IW37" s="576">
        <v>51.81</v>
      </c>
      <c r="JB37" s="546"/>
      <c r="JC37" s="576"/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2330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2497</v>
      </c>
      <c r="IV38" s="546" t="s">
        <v>2662</v>
      </c>
      <c r="IW38" s="576">
        <v>28.77</v>
      </c>
      <c r="JB38" s="546"/>
      <c r="JC38" s="576"/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2498</v>
      </c>
      <c r="IV39" s="410"/>
      <c r="IW39" s="576"/>
      <c r="JB39" s="546"/>
      <c r="JC39" s="576"/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60" t="s">
        <v>1446</v>
      </c>
      <c r="DJ40" s="760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0" t="s">
        <v>2179</v>
      </c>
      <c r="II40" s="710"/>
      <c r="IJ40" s="419">
        <v>20</v>
      </c>
      <c r="IK40" s="344" t="s">
        <v>2435</v>
      </c>
      <c r="IN40" s="344" t="s">
        <v>2576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410"/>
      <c r="JC40" s="576"/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2357</v>
      </c>
      <c r="IC41" s="357">
        <v>205</v>
      </c>
      <c r="ID41" s="419">
        <v>15</v>
      </c>
      <c r="IE41" s="344" t="s">
        <v>2343</v>
      </c>
      <c r="IH41" s="355" t="s">
        <v>1967</v>
      </c>
      <c r="II41" s="290">
        <f>SUM(IK7:IK9)</f>
        <v>1946.12</v>
      </c>
      <c r="IJ41" s="419">
        <v>40</v>
      </c>
      <c r="IK41" s="344" t="s">
        <v>2410</v>
      </c>
      <c r="IP41" s="419">
        <v>30</v>
      </c>
      <c r="IQ41" s="586" t="s">
        <v>2502</v>
      </c>
      <c r="IV41" s="410"/>
      <c r="IW41" s="576"/>
      <c r="JB41" s="410"/>
      <c r="JC41" s="576"/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2377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2433</v>
      </c>
      <c r="IP42" s="419">
        <v>20</v>
      </c>
      <c r="IQ42" s="586" t="s">
        <v>2571</v>
      </c>
      <c r="IV42" s="630"/>
      <c r="IW42" s="632"/>
      <c r="JB42" s="410"/>
      <c r="JC42" s="576"/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2345</v>
      </c>
      <c r="HY43" s="659"/>
      <c r="HZ43" t="s">
        <v>93</v>
      </c>
      <c r="ID43" s="419">
        <f>20+9</f>
        <v>29</v>
      </c>
      <c r="IE43" s="344" t="s">
        <v>2393</v>
      </c>
      <c r="IH43" s="366" t="s">
        <v>1400</v>
      </c>
      <c r="II43">
        <f>SUM(IK10:IK11)</f>
        <v>3467.75</v>
      </c>
      <c r="IJ43" s="419">
        <v>20</v>
      </c>
      <c r="IK43" s="344" t="s">
        <v>2458</v>
      </c>
      <c r="IO43" s="536"/>
      <c r="IP43" s="419">
        <v>12</v>
      </c>
      <c r="IQ43" s="586" t="s">
        <v>2515</v>
      </c>
      <c r="IV43" s="205"/>
      <c r="IW43" s="361"/>
      <c r="JB43" s="630"/>
      <c r="JC43" s="632"/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2404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2437</v>
      </c>
      <c r="IO44" s="536"/>
      <c r="IP44" s="419">
        <v>20</v>
      </c>
      <c r="IQ44" s="586" t="s">
        <v>2235</v>
      </c>
      <c r="IV44" s="205"/>
      <c r="IW44" s="205"/>
      <c r="JB44" s="205"/>
      <c r="JC44" s="361"/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2339</v>
      </c>
      <c r="HY45">
        <f>40+150</f>
        <v>190</v>
      </c>
      <c r="ID45" s="410" t="s">
        <v>2360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2454</v>
      </c>
      <c r="IO45" s="537"/>
      <c r="IP45" s="357">
        <v>10</v>
      </c>
      <c r="IQ45" s="586" t="s">
        <v>2525</v>
      </c>
      <c r="IV45" s="408"/>
      <c r="IW45" s="205"/>
      <c r="JB45" s="205"/>
      <c r="JC45" s="205"/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2438</v>
      </c>
      <c r="IP46" s="357">
        <f>17+11+6</f>
        <v>34</v>
      </c>
      <c r="IQ46" s="586" t="s">
        <v>2564</v>
      </c>
      <c r="IV46" s="205"/>
      <c r="IW46" s="346"/>
      <c r="JB46" s="408"/>
      <c r="JC46" s="205"/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69" t="s">
        <v>2101</v>
      </c>
      <c r="GZ47" s="364" t="s">
        <v>2119</v>
      </c>
      <c r="HA47" s="6">
        <v>6</v>
      </c>
      <c r="HX47" s="662" t="s">
        <v>2335</v>
      </c>
      <c r="HY47">
        <f>389.7+107.1</f>
        <v>496.79999999999995</v>
      </c>
      <c r="ID47" s="410" t="s">
        <v>2381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2570</v>
      </c>
      <c r="IV47" s="410"/>
      <c r="IW47" s="631"/>
      <c r="JB47" s="205"/>
      <c r="JC47" s="346"/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69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2389</v>
      </c>
      <c r="IE48">
        <v>50</v>
      </c>
      <c r="IH48" s="344" t="s">
        <v>2460</v>
      </c>
      <c r="II48" s="357">
        <v>300</v>
      </c>
      <c r="IJ48" s="357">
        <v>20</v>
      </c>
      <c r="IK48" s="344" t="s">
        <v>2456</v>
      </c>
      <c r="IP48" s="546" t="s">
        <v>2499</v>
      </c>
      <c r="IQ48" s="576">
        <f>757-3.8</f>
        <v>753.2</v>
      </c>
      <c r="IV48" s="410"/>
      <c r="IW48" s="205"/>
      <c r="JB48" s="410"/>
      <c r="JC48" s="631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69"/>
      <c r="GZ49" s="213" t="s">
        <v>2126</v>
      </c>
      <c r="HX49" s="662" t="s">
        <v>2337</v>
      </c>
      <c r="HY49">
        <v>17.88</v>
      </c>
      <c r="ID49" s="410" t="s">
        <v>2391</v>
      </c>
      <c r="IE49">
        <v>26.8</v>
      </c>
      <c r="IJ49" s="419">
        <v>10</v>
      </c>
      <c r="IK49" s="63" t="s">
        <v>2431</v>
      </c>
      <c r="IP49" s="546" t="s">
        <v>2485</v>
      </c>
      <c r="IQ49" s="576">
        <v>92.8</v>
      </c>
      <c r="IV49" s="410"/>
      <c r="IW49" s="205"/>
      <c r="JB49" s="410"/>
      <c r="JC49" s="205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69"/>
      <c r="GZ50" t="s">
        <v>2094</v>
      </c>
      <c r="HA50" s="6">
        <v>50.000999999999998</v>
      </c>
      <c r="HF50" s="1"/>
      <c r="HX50" s="662" t="s">
        <v>2338</v>
      </c>
      <c r="HY50">
        <v>23.86</v>
      </c>
      <c r="IJ50" s="546" t="s">
        <v>2427</v>
      </c>
      <c r="IK50" s="557">
        <f>161+14</f>
        <v>175</v>
      </c>
      <c r="IP50" s="546" t="s">
        <v>2491</v>
      </c>
      <c r="IQ50" s="576">
        <f>220.8+7.27*2</f>
        <v>235.34</v>
      </c>
      <c r="IV50" s="410"/>
      <c r="JB50" s="410"/>
      <c r="JC50" s="205"/>
    </row>
    <row r="51" spans="41:265" x14ac:dyDescent="0.25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2336</v>
      </c>
      <c r="HY51">
        <v>19.89</v>
      </c>
      <c r="ID51" s="533" t="s">
        <v>2345</v>
      </c>
      <c r="IE51" s="533"/>
      <c r="II51" s="536"/>
      <c r="IJ51" s="546" t="s">
        <v>2449</v>
      </c>
      <c r="IK51" s="557">
        <v>87.8</v>
      </c>
      <c r="IP51" s="408" t="s">
        <v>2516</v>
      </c>
      <c r="IQ51" s="576">
        <v>84.9</v>
      </c>
      <c r="IV51" s="410"/>
      <c r="JB51" s="410"/>
    </row>
    <row r="52" spans="41:265" x14ac:dyDescent="0.25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2344</v>
      </c>
      <c r="IE52" s="145">
        <f>30+139.5</f>
        <v>169.5</v>
      </c>
      <c r="II52" s="536"/>
      <c r="IJ52" s="546" t="s">
        <v>2459</v>
      </c>
      <c r="IK52" s="557">
        <f>40.6+11.5</f>
        <v>52.1</v>
      </c>
      <c r="IP52" s="410" t="s">
        <v>2517</v>
      </c>
      <c r="IQ52" s="576">
        <v>105.8</v>
      </c>
      <c r="IV52" s="410"/>
      <c r="JB52" s="410"/>
    </row>
    <row r="53" spans="41:265" x14ac:dyDescent="0.25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2358</v>
      </c>
      <c r="IE53">
        <v>15.32</v>
      </c>
      <c r="II53" s="537"/>
      <c r="IJ53" s="546" t="s">
        <v>2476</v>
      </c>
      <c r="IK53" s="557">
        <v>10.49</v>
      </c>
      <c r="IP53" s="410" t="s">
        <v>2520</v>
      </c>
      <c r="IQ53" s="576"/>
      <c r="JB53" s="410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2359</v>
      </c>
      <c r="IE54" s="348">
        <v>67.61</v>
      </c>
      <c r="IJ54" s="546" t="s">
        <v>2323</v>
      </c>
      <c r="IK54" s="557">
        <v>135.09</v>
      </c>
      <c r="IP54" s="410" t="s">
        <v>2511</v>
      </c>
      <c r="IQ54" s="576">
        <v>47.05</v>
      </c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2367</v>
      </c>
      <c r="IE55" s="535">
        <v>-25.98</v>
      </c>
      <c r="IJ55" s="533" t="s">
        <v>2457</v>
      </c>
      <c r="IK55" s="533"/>
      <c r="IP55" s="410" t="s">
        <v>2572</v>
      </c>
      <c r="IQ55" s="632">
        <v>22.2</v>
      </c>
    </row>
    <row r="56" spans="41:265" x14ac:dyDescent="0.25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2387</v>
      </c>
      <c r="IE56">
        <v>8.8000000000000007</v>
      </c>
      <c r="IJ56" s="410" t="s">
        <v>2405</v>
      </c>
      <c r="IK56">
        <v>150</v>
      </c>
      <c r="IP56" s="630" t="s">
        <v>2575</v>
      </c>
      <c r="IQ56" s="361">
        <v>22.6</v>
      </c>
    </row>
    <row r="57" spans="41:265" x14ac:dyDescent="0.25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2401</v>
      </c>
      <c r="IE57">
        <f>2000+1311.79</f>
        <v>3311.79</v>
      </c>
      <c r="IJ57" s="410" t="s">
        <v>2387</v>
      </c>
      <c r="IK57">
        <v>5.4</v>
      </c>
      <c r="IP57" s="205"/>
      <c r="IQ57" s="205"/>
    </row>
    <row r="58" spans="41:265" x14ac:dyDescent="0.25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5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5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5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5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6.88671875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23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5.25" customHeight="1" x14ac:dyDescent="0.3">
      <c r="I1" s="592"/>
    </row>
    <row r="2" spans="2:16" ht="15.75" customHeight="1" x14ac:dyDescent="0.3">
      <c r="B2" s="779" t="s">
        <v>1883</v>
      </c>
      <c r="C2" s="779"/>
      <c r="D2" s="779"/>
      <c r="E2" s="771" t="s">
        <v>2528</v>
      </c>
      <c r="F2" s="771" t="s">
        <v>2561</v>
      </c>
      <c r="G2" s="608"/>
      <c r="H2" s="773"/>
      <c r="I2" s="780" t="s">
        <v>2700</v>
      </c>
      <c r="J2" s="780"/>
      <c r="K2" s="775" t="s">
        <v>2696</v>
      </c>
      <c r="L2" s="775" t="s">
        <v>2588</v>
      </c>
      <c r="M2" s="771" t="s">
        <v>2533</v>
      </c>
      <c r="N2" s="770" t="s">
        <v>2543</v>
      </c>
    </row>
    <row r="3" spans="2:16" s="598" customFormat="1" x14ac:dyDescent="0.3">
      <c r="B3" s="593" t="s">
        <v>1882</v>
      </c>
      <c r="C3" s="594" t="s">
        <v>1881</v>
      </c>
      <c r="D3" s="595" t="s">
        <v>2443</v>
      </c>
      <c r="E3" s="772"/>
      <c r="F3" s="772"/>
      <c r="G3" s="609"/>
      <c r="H3" s="774"/>
      <c r="I3" s="596" t="s">
        <v>2644</v>
      </c>
      <c r="J3" s="597" t="s">
        <v>2220</v>
      </c>
      <c r="K3" s="776"/>
      <c r="L3" s="776"/>
      <c r="M3" s="772"/>
      <c r="N3" s="770"/>
    </row>
    <row r="4" spans="2:16" s="689" customFormat="1" x14ac:dyDescent="0.3">
      <c r="B4" s="689">
        <v>38</v>
      </c>
      <c r="C4" s="689">
        <v>29</v>
      </c>
      <c r="D4" s="689">
        <v>130</v>
      </c>
      <c r="G4" s="690">
        <v>44958</v>
      </c>
      <c r="I4" s="689">
        <f>360-J4</f>
        <v>285</v>
      </c>
      <c r="J4" s="689">
        <v>75</v>
      </c>
      <c r="K4" s="689">
        <v>65</v>
      </c>
      <c r="L4" s="689">
        <v>176</v>
      </c>
      <c r="M4" s="689">
        <v>485.00099999999998</v>
      </c>
      <c r="N4" s="689" t="s">
        <v>2546</v>
      </c>
      <c r="O4" s="689" t="s">
        <v>2595</v>
      </c>
    </row>
    <row r="5" spans="2:16" s="689" customFormat="1" x14ac:dyDescent="0.3">
      <c r="B5" s="689" t="s">
        <v>2529</v>
      </c>
      <c r="C5" s="689">
        <v>8</v>
      </c>
      <c r="D5" s="689">
        <f>D4</f>
        <v>130</v>
      </c>
      <c r="E5" s="689" t="s">
        <v>2563</v>
      </c>
      <c r="F5" s="689" t="s">
        <v>311</v>
      </c>
      <c r="G5" s="690">
        <v>44975</v>
      </c>
      <c r="H5" s="691"/>
      <c r="I5" s="689">
        <f>360-J5</f>
        <v>285</v>
      </c>
      <c r="J5" s="689">
        <v>75</v>
      </c>
      <c r="K5" s="689">
        <v>65</v>
      </c>
      <c r="L5" s="689">
        <v>176</v>
      </c>
      <c r="M5" s="689">
        <v>418.00099999999998</v>
      </c>
      <c r="N5" s="689" t="s">
        <v>2546</v>
      </c>
    </row>
    <row r="6" spans="2:16" x14ac:dyDescent="0.3">
      <c r="B6" s="616"/>
      <c r="G6" s="610">
        <v>44985</v>
      </c>
      <c r="H6" s="670" t="s">
        <v>2597</v>
      </c>
      <c r="P6" s="603"/>
    </row>
    <row r="7" spans="2:16" x14ac:dyDescent="0.3">
      <c r="B7" s="616"/>
      <c r="G7" s="610">
        <v>44987</v>
      </c>
      <c r="H7" s="692" t="s">
        <v>2702</v>
      </c>
      <c r="P7" s="603"/>
    </row>
    <row r="8" spans="2:16" x14ac:dyDescent="0.3">
      <c r="B8" s="616"/>
      <c r="G8" s="610"/>
      <c r="H8" s="692"/>
      <c r="P8" s="603"/>
    </row>
    <row r="9" spans="2:16" x14ac:dyDescent="0.3">
      <c r="B9" s="616"/>
      <c r="G9" s="657" t="s">
        <v>2695</v>
      </c>
      <c r="H9" s="603" t="s">
        <v>2647</v>
      </c>
      <c r="O9" s="599"/>
      <c r="P9" s="603"/>
    </row>
    <row r="10" spans="2:16" x14ac:dyDescent="0.3">
      <c r="B10" s="616"/>
      <c r="G10" s="607">
        <v>45013</v>
      </c>
      <c r="H10" s="693" t="s">
        <v>2703</v>
      </c>
      <c r="O10" s="599"/>
      <c r="P10" s="603"/>
    </row>
    <row r="11" spans="2:16" x14ac:dyDescent="0.3">
      <c r="B11" s="616"/>
      <c r="G11" s="607">
        <v>45015</v>
      </c>
      <c r="H11" s="603"/>
      <c r="I11" s="591">
        <f>I5+K5</f>
        <v>350</v>
      </c>
      <c r="J11" s="591" t="s">
        <v>2668</v>
      </c>
    </row>
    <row r="12" spans="2:16" x14ac:dyDescent="0.3">
      <c r="B12" s="617"/>
      <c r="E12" s="605" t="s">
        <v>2560</v>
      </c>
      <c r="F12" s="599" t="s">
        <v>2651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2556</v>
      </c>
    </row>
    <row r="13" spans="2:16" x14ac:dyDescent="0.3">
      <c r="B13" s="618"/>
      <c r="C13" s="781" t="s">
        <v>2531</v>
      </c>
      <c r="D13" s="781"/>
      <c r="E13" s="781"/>
      <c r="F13" s="781"/>
      <c r="G13" s="781"/>
      <c r="H13" s="781"/>
      <c r="I13" s="781"/>
      <c r="J13" s="781"/>
      <c r="K13" s="781"/>
      <c r="L13" s="781"/>
      <c r="M13" s="781"/>
      <c r="N13" s="781"/>
      <c r="O13" s="781"/>
      <c r="P13" s="781"/>
    </row>
    <row r="14" spans="2:16" ht="12.75" customHeight="1" x14ac:dyDescent="0.3">
      <c r="B14" s="617"/>
      <c r="C14" s="606" t="s">
        <v>2554</v>
      </c>
      <c r="D14" s="604"/>
      <c r="E14" s="771" t="s">
        <v>2528</v>
      </c>
      <c r="F14" s="771" t="s">
        <v>2561</v>
      </c>
      <c r="G14" s="609"/>
      <c r="H14" s="773" t="s">
        <v>2542</v>
      </c>
      <c r="I14" s="777" t="s">
        <v>2550</v>
      </c>
      <c r="J14" s="782" t="s">
        <v>2697</v>
      </c>
      <c r="K14" s="782"/>
      <c r="L14" s="775" t="s">
        <v>2671</v>
      </c>
      <c r="M14" s="771" t="s">
        <v>2533</v>
      </c>
      <c r="N14" s="770" t="s">
        <v>2543</v>
      </c>
    </row>
    <row r="15" spans="2:16" x14ac:dyDescent="0.3">
      <c r="B15" s="617"/>
      <c r="C15" s="594" t="s">
        <v>1881</v>
      </c>
      <c r="D15" s="595" t="s">
        <v>2443</v>
      </c>
      <c r="E15" s="772"/>
      <c r="F15" s="772"/>
      <c r="G15" s="611"/>
      <c r="H15" s="774"/>
      <c r="I15" s="778"/>
      <c r="J15" s="612" t="s">
        <v>2558</v>
      </c>
      <c r="K15" s="613" t="s">
        <v>1882</v>
      </c>
      <c r="L15" s="776"/>
      <c r="M15" s="772"/>
      <c r="N15" s="770"/>
    </row>
    <row r="16" spans="2:16" x14ac:dyDescent="0.3">
      <c r="B16" s="787">
        <v>10</v>
      </c>
      <c r="C16" s="787"/>
      <c r="G16" s="783">
        <v>45017</v>
      </c>
      <c r="H16" s="603" t="s">
        <v>2529</v>
      </c>
      <c r="I16" s="591">
        <v>80</v>
      </c>
      <c r="J16" s="671">
        <f>I12-I16-L16</f>
        <v>102</v>
      </c>
      <c r="K16" s="591">
        <v>75</v>
      </c>
      <c r="L16" s="591">
        <v>10</v>
      </c>
      <c r="O16" s="591" t="s">
        <v>2557</v>
      </c>
    </row>
    <row r="17" spans="2:18" x14ac:dyDescent="0.3">
      <c r="B17" s="617"/>
      <c r="E17" s="599"/>
      <c r="F17" s="599"/>
      <c r="G17" s="784"/>
      <c r="H17" s="617"/>
      <c r="N17" s="603"/>
      <c r="O17" s="591" t="s">
        <v>2555</v>
      </c>
    </row>
    <row r="18" spans="2:18" x14ac:dyDescent="0.3">
      <c r="B18" s="617"/>
      <c r="C18" s="591" t="s">
        <v>2529</v>
      </c>
      <c r="E18" s="692" t="s">
        <v>2701</v>
      </c>
      <c r="F18" s="692" t="s">
        <v>2682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3">
      <c r="B19" s="617"/>
      <c r="E19" s="692"/>
      <c r="F19" s="692"/>
      <c r="H19" s="617"/>
      <c r="N19" s="603"/>
    </row>
    <row r="20" spans="2:18" x14ac:dyDescent="0.3">
      <c r="B20" s="617"/>
      <c r="E20" s="785" t="s">
        <v>2698</v>
      </c>
      <c r="F20" s="786"/>
      <c r="G20" s="607">
        <v>45013</v>
      </c>
      <c r="H20" s="617"/>
      <c r="N20" s="603"/>
      <c r="O20" s="600" t="s">
        <v>2641</v>
      </c>
    </row>
    <row r="21" spans="2:18" x14ac:dyDescent="0.3">
      <c r="B21" s="617"/>
      <c r="E21" s="786"/>
      <c r="F21" s="786"/>
      <c r="G21" s="607" t="s">
        <v>2600</v>
      </c>
      <c r="H21" s="617"/>
      <c r="N21" s="603"/>
      <c r="O21" s="676" t="s">
        <v>2649</v>
      </c>
    </row>
    <row r="22" spans="2:18" x14ac:dyDescent="0.3">
      <c r="B22" s="617"/>
      <c r="E22" s="655"/>
      <c r="F22" s="655"/>
      <c r="H22" s="617"/>
      <c r="N22" s="603"/>
      <c r="O22" s="600"/>
    </row>
    <row r="23" spans="2:18" x14ac:dyDescent="0.3">
      <c r="B23" s="617"/>
      <c r="E23" s="641"/>
      <c r="F23" s="641"/>
      <c r="G23" s="658" t="s">
        <v>2652</v>
      </c>
      <c r="H23" s="656" t="s">
        <v>2646</v>
      </c>
      <c r="N23" s="603"/>
    </row>
    <row r="24" spans="2:18" x14ac:dyDescent="0.3">
      <c r="B24" s="617"/>
      <c r="E24" s="600"/>
      <c r="F24" s="600"/>
      <c r="G24" s="610">
        <v>45045</v>
      </c>
      <c r="H24" s="617"/>
      <c r="K24" s="603"/>
      <c r="L24" s="603"/>
      <c r="O24" s="601" t="s">
        <v>2602</v>
      </c>
    </row>
    <row r="25" spans="2:18" x14ac:dyDescent="0.3">
      <c r="B25" s="617"/>
      <c r="E25" s="599"/>
      <c r="F25" s="599"/>
      <c r="H25" s="617"/>
      <c r="N25" s="603"/>
      <c r="O25" s="600"/>
    </row>
    <row r="26" spans="2:18" x14ac:dyDescent="0.3">
      <c r="B26" s="618"/>
      <c r="C26" s="781" t="s">
        <v>2532</v>
      </c>
      <c r="D26" s="781"/>
      <c r="E26" s="781"/>
      <c r="F26" s="781"/>
      <c r="G26" s="781"/>
      <c r="H26" s="781"/>
      <c r="I26" s="781"/>
      <c r="J26" s="781"/>
      <c r="K26" s="781"/>
      <c r="L26" s="781"/>
      <c r="M26" s="781"/>
      <c r="N26" s="781"/>
      <c r="O26" s="781"/>
      <c r="P26" s="781"/>
    </row>
    <row r="27" spans="2:18" x14ac:dyDescent="0.3">
      <c r="B27" s="617"/>
      <c r="C27" s="591">
        <v>9</v>
      </c>
      <c r="E27" s="605" t="s">
        <v>2642</v>
      </c>
      <c r="F27" s="600" t="s">
        <v>2651</v>
      </c>
      <c r="G27" s="610">
        <v>45048</v>
      </c>
      <c r="H27" s="617"/>
      <c r="I27" s="591">
        <v>0</v>
      </c>
      <c r="J27" s="591">
        <f>J16-25</f>
        <v>77</v>
      </c>
      <c r="K27" s="591">
        <f>J5</f>
        <v>75</v>
      </c>
      <c r="L27" s="591">
        <v>10</v>
      </c>
      <c r="M27" s="591">
        <f>ABS(SUM(I16:L16)-M18-SUM(I27:L27))</f>
        <v>145.00099999999998</v>
      </c>
      <c r="O27" s="591" t="s">
        <v>2599</v>
      </c>
    </row>
    <row r="28" spans="2:18" x14ac:dyDescent="0.3">
      <c r="B28" s="617"/>
      <c r="C28" s="591" t="s">
        <v>2529</v>
      </c>
      <c r="E28" s="605" t="s">
        <v>2598</v>
      </c>
      <c r="F28" s="676" t="s">
        <v>2650</v>
      </c>
      <c r="G28" s="610" t="s">
        <v>2601</v>
      </c>
      <c r="H28" s="617"/>
      <c r="K28" s="603"/>
      <c r="L28" s="603"/>
      <c r="M28" s="591">
        <f>M27-C27</f>
        <v>136.00099999999998</v>
      </c>
      <c r="N28" s="591" t="s">
        <v>2544</v>
      </c>
      <c r="O28" s="591" t="s">
        <v>2547</v>
      </c>
    </row>
    <row r="29" spans="2:18" x14ac:dyDescent="0.3">
      <c r="B29" s="617"/>
      <c r="E29" s="600"/>
      <c r="F29" s="600"/>
      <c r="G29" s="610"/>
      <c r="H29" s="617"/>
      <c r="K29" s="603"/>
      <c r="L29" s="603"/>
      <c r="O29" s="601"/>
    </row>
    <row r="30" spans="2:18" x14ac:dyDescent="0.3">
      <c r="B30" s="617"/>
      <c r="E30" s="600"/>
      <c r="F30" s="600"/>
      <c r="G30" s="639">
        <v>45076</v>
      </c>
      <c r="H30" s="617"/>
      <c r="K30" s="603"/>
      <c r="L30" s="603"/>
      <c r="O30" s="591" t="s">
        <v>2579</v>
      </c>
      <c r="R30" s="601"/>
    </row>
    <row r="31" spans="2:18" x14ac:dyDescent="0.3">
      <c r="B31" s="617"/>
      <c r="C31" s="591">
        <f>20+1</f>
        <v>21</v>
      </c>
      <c r="D31" s="591" t="s">
        <v>2530</v>
      </c>
      <c r="E31" s="600"/>
      <c r="F31" s="600"/>
      <c r="G31" s="639">
        <v>45077</v>
      </c>
      <c r="H31" s="617"/>
      <c r="K31" s="603"/>
      <c r="L31" s="603"/>
      <c r="O31" s="591" t="s">
        <v>2541</v>
      </c>
      <c r="R31" s="601"/>
    </row>
    <row r="32" spans="2:18" x14ac:dyDescent="0.3">
      <c r="B32" s="617"/>
      <c r="E32" s="600"/>
      <c r="F32" s="600"/>
      <c r="G32" s="610">
        <v>45077</v>
      </c>
      <c r="H32" s="603">
        <v>4</v>
      </c>
      <c r="I32" s="591" t="s">
        <v>2548</v>
      </c>
      <c r="K32" s="603"/>
      <c r="L32" s="603"/>
      <c r="R32" s="601"/>
    </row>
    <row r="33" spans="2:18" x14ac:dyDescent="0.3">
      <c r="B33" s="617"/>
      <c r="E33" s="600"/>
      <c r="F33" s="600"/>
      <c r="G33" s="610">
        <v>45077</v>
      </c>
      <c r="H33" s="603">
        <v>4.2</v>
      </c>
      <c r="I33" s="591" t="s">
        <v>2549</v>
      </c>
      <c r="K33" s="603"/>
      <c r="L33" s="603"/>
      <c r="O33" s="591" t="s">
        <v>2559</v>
      </c>
      <c r="R33" s="601"/>
    </row>
    <row r="34" spans="2:18" x14ac:dyDescent="0.3">
      <c r="B34" s="617"/>
      <c r="E34" s="600"/>
      <c r="F34" s="600"/>
      <c r="G34" s="610"/>
      <c r="H34" s="603"/>
      <c r="K34" s="603"/>
      <c r="L34" s="603"/>
      <c r="R34" s="601"/>
    </row>
    <row r="35" spans="2:18" x14ac:dyDescent="0.3">
      <c r="B35" s="617"/>
      <c r="G35" s="638">
        <v>45078</v>
      </c>
      <c r="H35" s="603"/>
      <c r="K35" s="603"/>
      <c r="L35" s="603"/>
      <c r="O35" s="591" t="s">
        <v>2553</v>
      </c>
    </row>
    <row r="36" spans="2:18" x14ac:dyDescent="0.3">
      <c r="B36" s="617"/>
      <c r="C36" s="591" t="s">
        <v>2529</v>
      </c>
      <c r="E36" s="605" t="s">
        <v>2562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2545</v>
      </c>
      <c r="O36" s="591" t="s">
        <v>2603</v>
      </c>
    </row>
    <row r="37" spans="2:18" x14ac:dyDescent="0.3">
      <c r="B37" s="617"/>
      <c r="E37" s="601"/>
      <c r="F37" s="601"/>
      <c r="H37" s="603"/>
      <c r="K37" s="603"/>
      <c r="L37" s="603"/>
    </row>
    <row r="38" spans="2:18" x14ac:dyDescent="0.3">
      <c r="B38" s="617"/>
      <c r="E38" s="602"/>
      <c r="H38" s="603"/>
      <c r="K38" s="603"/>
      <c r="L38" s="603"/>
    </row>
    <row r="39" spans="2:18" x14ac:dyDescent="0.3">
      <c r="B39" s="617"/>
      <c r="E39" s="602"/>
      <c r="G39" s="610">
        <v>45104</v>
      </c>
      <c r="H39" s="603"/>
      <c r="K39" s="603"/>
      <c r="L39" s="603"/>
      <c r="O39" s="591" t="s">
        <v>2539</v>
      </c>
    </row>
    <row r="40" spans="2:18" x14ac:dyDescent="0.3">
      <c r="B40" s="617"/>
      <c r="C40" s="591">
        <f>113+1</f>
        <v>114</v>
      </c>
      <c r="D40" s="591" t="s">
        <v>2530</v>
      </c>
      <c r="G40" s="610">
        <v>45105</v>
      </c>
      <c r="H40" s="603"/>
      <c r="K40" s="603"/>
      <c r="L40" s="603"/>
      <c r="O40" s="591" t="s">
        <v>2540</v>
      </c>
    </row>
    <row r="41" spans="2:18" x14ac:dyDescent="0.3">
      <c r="B41" s="617"/>
      <c r="G41" s="610">
        <v>45107</v>
      </c>
      <c r="H41" s="603"/>
      <c r="K41" s="603"/>
      <c r="L41" s="603"/>
      <c r="O41" s="591" t="s">
        <v>2553</v>
      </c>
    </row>
    <row r="42" spans="2:18" x14ac:dyDescent="0.3">
      <c r="B42" s="617"/>
      <c r="D42" s="591">
        <v>0</v>
      </c>
      <c r="E42" s="640" t="s">
        <v>2536</v>
      </c>
      <c r="F42" s="640" t="s">
        <v>2537</v>
      </c>
      <c r="G42" s="610">
        <v>45110</v>
      </c>
      <c r="H42" s="603"/>
      <c r="K42" s="603"/>
      <c r="L42" s="603"/>
    </row>
    <row r="43" spans="2:18" x14ac:dyDescent="0.3">
      <c r="H43" s="603"/>
      <c r="K43" s="603"/>
      <c r="L43" s="603"/>
    </row>
    <row r="44" spans="2:18" x14ac:dyDescent="0.3">
      <c r="H44" s="603"/>
      <c r="K44" s="603"/>
      <c r="L44" s="603"/>
      <c r="O44" s="619" t="s">
        <v>2538</v>
      </c>
      <c r="P44" s="620">
        <v>10000</v>
      </c>
    </row>
    <row r="45" spans="2:18" x14ac:dyDescent="0.3">
      <c r="O45" s="619" t="s">
        <v>2535</v>
      </c>
      <c r="P45" s="621">
        <f>3.78%-2.5%</f>
        <v>1.2799999999999999E-2</v>
      </c>
    </row>
    <row r="46" spans="2:18" x14ac:dyDescent="0.3">
      <c r="O46" s="619" t="s">
        <v>2534</v>
      </c>
      <c r="P46" s="622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1893</v>
      </c>
    </row>
    <row r="3" spans="2:5" x14ac:dyDescent="0.3">
      <c r="B3" s="380" t="s">
        <v>1892</v>
      </c>
      <c r="C3" s="788" t="s">
        <v>1905</v>
      </c>
      <c r="D3" s="788"/>
    </row>
    <row r="4" spans="2:5" x14ac:dyDescent="0.3">
      <c r="B4" s="380" t="s">
        <v>1889</v>
      </c>
      <c r="D4" s="393">
        <v>64</v>
      </c>
    </row>
    <row r="5" spans="2:5" x14ac:dyDescent="0.3">
      <c r="B5" s="380" t="s">
        <v>1888</v>
      </c>
      <c r="D5" s="393">
        <v>1000</v>
      </c>
    </row>
    <row r="6" spans="2:5" x14ac:dyDescent="0.3">
      <c r="B6" s="381" t="s">
        <v>1887</v>
      </c>
      <c r="C6" s="392"/>
      <c r="D6" s="383">
        <v>70000</v>
      </c>
      <c r="E6" s="380" t="s">
        <v>1908</v>
      </c>
    </row>
    <row r="7" spans="2:5" x14ac:dyDescent="0.3">
      <c r="B7" s="380" t="s">
        <v>1920</v>
      </c>
      <c r="C7" s="391">
        <f>SUM(D4:D6)</f>
        <v>71064</v>
      </c>
      <c r="D7" s="393"/>
    </row>
    <row r="8" spans="2:5" x14ac:dyDescent="0.3">
      <c r="B8" s="380" t="s">
        <v>1917</v>
      </c>
      <c r="C8" s="391" t="s">
        <v>433</v>
      </c>
      <c r="D8" s="393">
        <v>13000</v>
      </c>
    </row>
    <row r="9" spans="2:5" x14ac:dyDescent="0.3">
      <c r="B9" s="381" t="s">
        <v>1890</v>
      </c>
      <c r="C9" s="392" t="s">
        <v>433</v>
      </c>
      <c r="D9" s="383">
        <v>6000</v>
      </c>
    </row>
    <row r="10" spans="2:5" x14ac:dyDescent="0.3">
      <c r="B10" s="380" t="s">
        <v>1954</v>
      </c>
      <c r="D10" s="393">
        <f>SUM(D4:D9)</f>
        <v>90064</v>
      </c>
      <c r="E10" s="380" t="s">
        <v>1941</v>
      </c>
    </row>
    <row r="12" spans="2:5" x14ac:dyDescent="0.3">
      <c r="B12" s="380" t="s">
        <v>1891</v>
      </c>
      <c r="C12" s="391" t="s">
        <v>1905</v>
      </c>
    </row>
    <row r="13" spans="2:5" x14ac:dyDescent="0.3">
      <c r="B13" s="380" t="s">
        <v>1886</v>
      </c>
      <c r="C13" s="391" t="s">
        <v>1905</v>
      </c>
    </row>
    <row r="14" spans="2:5" x14ac:dyDescent="0.3">
      <c r="B14" s="380" t="s">
        <v>1885</v>
      </c>
      <c r="C14" s="391" t="s">
        <v>1905</v>
      </c>
    </row>
    <row r="15" spans="2:5" x14ac:dyDescent="0.3">
      <c r="B15" s="380" t="s">
        <v>1884</v>
      </c>
      <c r="C15" s="391">
        <v>510000</v>
      </c>
      <c r="D15" s="391"/>
    </row>
    <row r="16" spans="2:5" x14ac:dyDescent="0.3">
      <c r="B16" s="380" t="s">
        <v>1926</v>
      </c>
      <c r="C16" s="391">
        <v>38000</v>
      </c>
    </row>
    <row r="19" spans="2:3" x14ac:dyDescent="0.3">
      <c r="B19" s="380" t="s">
        <v>2060</v>
      </c>
      <c r="C19" s="391">
        <f>SUM(C7:C17)</f>
        <v>619064</v>
      </c>
    </row>
    <row r="22" spans="2:3" ht="28.8" x14ac:dyDescent="0.55000000000000004">
      <c r="B22" s="397" t="s">
        <v>1957</v>
      </c>
    </row>
    <row r="23" spans="2:3" x14ac:dyDescent="0.3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791" t="s">
        <v>2088</v>
      </c>
      <c r="C2" s="791"/>
      <c r="D2" s="792" t="s">
        <v>1883</v>
      </c>
      <c r="E2" s="792"/>
      <c r="F2" s="512"/>
      <c r="G2" s="512"/>
      <c r="H2" s="385"/>
      <c r="I2" s="795" t="s">
        <v>2279</v>
      </c>
      <c r="J2" s="796"/>
      <c r="K2" s="796"/>
      <c r="L2" s="796"/>
      <c r="M2" s="796"/>
      <c r="N2" s="796"/>
      <c r="O2" s="797"/>
      <c r="P2" s="466"/>
      <c r="Q2" s="798" t="s">
        <v>2315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03" t="s">
        <v>2310</v>
      </c>
      <c r="G3" s="804"/>
      <c r="H3" s="385"/>
      <c r="I3" s="449"/>
      <c r="J3" s="513"/>
      <c r="K3" s="800" t="s">
        <v>2453</v>
      </c>
      <c r="L3" s="801"/>
      <c r="M3" s="802"/>
      <c r="N3" s="518"/>
      <c r="O3" s="446"/>
      <c r="P3" s="510"/>
      <c r="Q3" s="799"/>
      <c r="R3" s="379"/>
    </row>
    <row r="4" spans="2:28" ht="46.8" x14ac:dyDescent="0.3">
      <c r="B4" s="438" t="s">
        <v>2087</v>
      </c>
      <c r="C4" s="438" t="s">
        <v>2086</v>
      </c>
      <c r="D4" s="377" t="s">
        <v>1882</v>
      </c>
      <c r="E4" s="561" t="s">
        <v>2503</v>
      </c>
      <c r="F4" s="562" t="s">
        <v>2443</v>
      </c>
      <c r="G4" s="563" t="s">
        <v>2444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793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793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794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794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789" t="s">
        <v>1550</v>
      </c>
      <c r="E27" s="790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2284</v>
      </c>
    </row>
    <row r="37" spans="3:18" ht="23.4" x14ac:dyDescent="0.45">
      <c r="C37" s="514" t="s">
        <v>2288</v>
      </c>
    </row>
    <row r="38" spans="3:18" x14ac:dyDescent="0.3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21" t="s">
        <v>124</v>
      </c>
      <c r="C1" s="721"/>
      <c r="D1" s="725" t="s">
        <v>292</v>
      </c>
      <c r="E1" s="725"/>
      <c r="F1" s="725" t="s">
        <v>345</v>
      </c>
      <c r="G1" s="725"/>
      <c r="H1" s="722" t="s">
        <v>127</v>
      </c>
      <c r="I1" s="722"/>
      <c r="J1" s="723" t="s">
        <v>292</v>
      </c>
      <c r="K1" s="723"/>
      <c r="L1" s="724" t="s">
        <v>526</v>
      </c>
      <c r="M1" s="724"/>
      <c r="N1" s="722" t="s">
        <v>146</v>
      </c>
      <c r="O1" s="722"/>
      <c r="P1" s="723" t="s">
        <v>293</v>
      </c>
      <c r="Q1" s="723"/>
      <c r="R1" s="724" t="s">
        <v>528</v>
      </c>
      <c r="S1" s="724"/>
      <c r="T1" s="710" t="s">
        <v>193</v>
      </c>
      <c r="U1" s="710"/>
      <c r="V1" s="723" t="s">
        <v>292</v>
      </c>
      <c r="W1" s="723"/>
      <c r="X1" s="712" t="s">
        <v>530</v>
      </c>
      <c r="Y1" s="712"/>
      <c r="Z1" s="710" t="s">
        <v>241</v>
      </c>
      <c r="AA1" s="710"/>
      <c r="AB1" s="711" t="s">
        <v>292</v>
      </c>
      <c r="AC1" s="711"/>
      <c r="AD1" s="720" t="s">
        <v>530</v>
      </c>
      <c r="AE1" s="720"/>
      <c r="AF1" s="710" t="s">
        <v>373</v>
      </c>
      <c r="AG1" s="710"/>
      <c r="AH1" s="711" t="s">
        <v>292</v>
      </c>
      <c r="AI1" s="711"/>
      <c r="AJ1" s="712" t="s">
        <v>536</v>
      </c>
      <c r="AK1" s="712"/>
      <c r="AL1" s="710" t="s">
        <v>395</v>
      </c>
      <c r="AM1" s="710"/>
      <c r="AN1" s="718" t="s">
        <v>292</v>
      </c>
      <c r="AO1" s="718"/>
      <c r="AP1" s="716" t="s">
        <v>537</v>
      </c>
      <c r="AQ1" s="716"/>
      <c r="AR1" s="710" t="s">
        <v>422</v>
      </c>
      <c r="AS1" s="710"/>
      <c r="AV1" s="716" t="s">
        <v>285</v>
      </c>
      <c r="AW1" s="716"/>
      <c r="AX1" s="719" t="s">
        <v>1005</v>
      </c>
      <c r="AY1" s="719"/>
      <c r="AZ1" s="719"/>
      <c r="BA1" s="211"/>
      <c r="BB1" s="714">
        <v>42942</v>
      </c>
      <c r="BC1" s="715"/>
      <c r="BD1" s="715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3" t="s">
        <v>261</v>
      </c>
      <c r="U4" s="713"/>
      <c r="X4" s="122" t="s">
        <v>233</v>
      </c>
      <c r="Y4" s="126">
        <f>Y3-Y6</f>
        <v>4.9669099999591708</v>
      </c>
      <c r="Z4" s="713" t="s">
        <v>262</v>
      </c>
      <c r="AA4" s="713"/>
      <c r="AD4" s="157" t="s">
        <v>233</v>
      </c>
      <c r="AE4" s="157">
        <f>AE3-AE5</f>
        <v>-52.526899999851594</v>
      </c>
      <c r="AF4" s="713" t="s">
        <v>262</v>
      </c>
      <c r="AG4" s="713"/>
      <c r="AH4" s="146"/>
      <c r="AI4" s="146"/>
      <c r="AJ4" s="157" t="s">
        <v>233</v>
      </c>
      <c r="AK4" s="157">
        <f>AK3-AK5</f>
        <v>94.988909999992757</v>
      </c>
      <c r="AL4" s="713" t="s">
        <v>262</v>
      </c>
      <c r="AM4" s="713"/>
      <c r="AP4" s="173" t="s">
        <v>233</v>
      </c>
      <c r="AQ4" s="177">
        <f>AQ3-AQ5</f>
        <v>33.841989999942598</v>
      </c>
      <c r="AR4" s="713" t="s">
        <v>262</v>
      </c>
      <c r="AS4" s="713"/>
      <c r="AX4" s="713" t="s">
        <v>570</v>
      </c>
      <c r="AY4" s="713"/>
      <c r="BB4" s="713" t="s">
        <v>573</v>
      </c>
      <c r="BC4" s="713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3"/>
      <c r="U5" s="713"/>
      <c r="V5" s="3" t="s">
        <v>258</v>
      </c>
      <c r="W5">
        <v>2050</v>
      </c>
      <c r="X5" s="82"/>
      <c r="Z5" s="713"/>
      <c r="AA5" s="71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3"/>
      <c r="AG5" s="713"/>
      <c r="AH5" s="146"/>
      <c r="AI5" s="146"/>
      <c r="AJ5" s="157" t="s">
        <v>358</v>
      </c>
      <c r="AK5" s="165">
        <f>SUM(AK11:AK59)</f>
        <v>30858.011000000002</v>
      </c>
      <c r="AL5" s="713"/>
      <c r="AM5" s="71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3"/>
      <c r="AS5" s="713"/>
      <c r="AX5" s="713"/>
      <c r="AY5" s="713"/>
      <c r="BB5" s="713"/>
      <c r="BC5" s="713"/>
      <c r="BD5" s="717" t="s">
        <v>1006</v>
      </c>
      <c r="BE5" s="717"/>
      <c r="BF5" s="717"/>
      <c r="BG5" s="717"/>
      <c r="BH5" s="717"/>
      <c r="BI5" s="717"/>
      <c r="BJ5" s="717"/>
      <c r="BK5" s="717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26" t="s">
        <v>264</v>
      </c>
      <c r="W23" s="7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28"/>
      <c r="W24" s="7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52"/>
  <sheetViews>
    <sheetView zoomScaleNormal="100" workbookViewId="0">
      <selection activeCell="S35" sqref="S3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2627</v>
      </c>
      <c r="E3" s="260"/>
      <c r="F3" s="260"/>
      <c r="G3" s="732">
        <v>44958</v>
      </c>
      <c r="H3" s="733"/>
      <c r="I3" s="645"/>
      <c r="J3" s="732">
        <v>43891</v>
      </c>
      <c r="K3" s="733"/>
      <c r="L3" s="303"/>
      <c r="M3" s="732">
        <v>43739</v>
      </c>
      <c r="N3" s="733"/>
    </row>
    <row r="4" spans="2:14" x14ac:dyDescent="0.25">
      <c r="B4" s="63" t="s">
        <v>324</v>
      </c>
      <c r="C4" s="71" t="s">
        <v>2633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2633</v>
      </c>
      <c r="D5" s="71" t="s">
        <v>1044</v>
      </c>
      <c r="E5" s="63" t="s">
        <v>2634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2633</v>
      </c>
      <c r="D6" s="71" t="s">
        <v>1051</v>
      </c>
      <c r="E6" s="63" t="s">
        <v>2637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2636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2710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2638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2639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2615</v>
      </c>
      <c r="F11" s="63" t="s">
        <v>2621</v>
      </c>
      <c r="G11" s="649"/>
      <c r="H11" s="231" t="s">
        <v>2617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8" customFormat="1" x14ac:dyDescent="0.25">
      <c r="B13" s="63" t="s">
        <v>317</v>
      </c>
      <c r="C13" s="71" t="s">
        <v>317</v>
      </c>
      <c r="D13" s="71" t="s">
        <v>1190</v>
      </c>
      <c r="E13" s="63" t="s">
        <v>2709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331</v>
      </c>
      <c r="E17" s="63" t="s">
        <v>2604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36" t="s">
        <v>2645</v>
      </c>
      <c r="D18" s="71" t="s">
        <v>1188</v>
      </c>
      <c r="E18" s="63" t="s">
        <v>2629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37"/>
      <c r="D19" s="63" t="s">
        <v>331</v>
      </c>
      <c r="E19" s="63" t="s">
        <v>2631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37"/>
      <c r="D20" s="63" t="s">
        <v>331</v>
      </c>
      <c r="E20" s="63" t="s">
        <v>2630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37"/>
      <c r="D21" s="63" t="s">
        <v>331</v>
      </c>
      <c r="E21" s="63" t="s">
        <v>2628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37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37"/>
      <c r="D23" s="71" t="s">
        <v>2624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37"/>
      <c r="D24" s="71" t="s">
        <v>2624</v>
      </c>
      <c r="E24" s="63" t="s">
        <v>2607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37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2605</v>
      </c>
      <c r="C26" s="738"/>
      <c r="D26" s="71" t="s">
        <v>331</v>
      </c>
      <c r="E26" s="63" t="s">
        <v>2643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5">
      <c r="B27" s="63" t="s">
        <v>2605</v>
      </c>
      <c r="C27" s="71" t="s">
        <v>316</v>
      </c>
      <c r="D27" s="71" t="s">
        <v>331</v>
      </c>
      <c r="E27" s="63" t="s">
        <v>2632</v>
      </c>
      <c r="F27" s="63" t="s">
        <v>1191</v>
      </c>
      <c r="G27" s="650" t="s">
        <v>2606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1190</v>
      </c>
      <c r="E28" s="63" t="s">
        <v>2623</v>
      </c>
      <c r="F28" s="63" t="s">
        <v>1192</v>
      </c>
      <c r="G28" s="650">
        <v>1000</v>
      </c>
      <c r="H28" s="231" t="s">
        <v>2609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331</v>
      </c>
      <c r="E29" s="63" t="s">
        <v>2619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2626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2625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39" t="s">
        <v>2711</v>
      </c>
      <c r="E33" s="674" t="s">
        <v>2712</v>
      </c>
      <c r="F33" s="186" t="s">
        <v>2673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8" customFormat="1" x14ac:dyDescent="0.25">
      <c r="B34" s="63"/>
      <c r="C34" s="71"/>
      <c r="D34" s="740"/>
      <c r="E34" s="674" t="s">
        <v>2713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2615</v>
      </c>
      <c r="F35" s="71" t="s">
        <v>2621</v>
      </c>
      <c r="G35" s="650" t="s">
        <v>2616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2714</v>
      </c>
    </row>
    <row r="36" spans="2:19" s="673" customFormat="1" x14ac:dyDescent="0.25">
      <c r="B36" s="63"/>
      <c r="C36" s="71"/>
      <c r="D36" s="71" t="s">
        <v>1044</v>
      </c>
      <c r="E36" s="674" t="s">
        <v>2676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5" customFormat="1" x14ac:dyDescent="0.25">
      <c r="B37" s="63" t="s">
        <v>317</v>
      </c>
      <c r="C37" s="71" t="s">
        <v>317</v>
      </c>
      <c r="D37" s="71" t="s">
        <v>1190</v>
      </c>
      <c r="E37" s="674" t="s">
        <v>2708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5">
      <c r="B38" s="63"/>
      <c r="C38" s="71"/>
      <c r="D38" s="71"/>
      <c r="E38" s="63" t="s">
        <v>2674</v>
      </c>
      <c r="F38" s="71" t="s">
        <v>2621</v>
      </c>
      <c r="G38" s="650" t="s">
        <v>2675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2620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2613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2677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2640</v>
      </c>
      <c r="F42" s="205">
        <v>1.33</v>
      </c>
      <c r="G42" s="114"/>
      <c r="H42" s="114" t="s">
        <v>2608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2618</v>
      </c>
      <c r="G43" s="735">
        <f>G40/F42+H40</f>
        <v>1890924.8120300751</v>
      </c>
      <c r="H43" s="735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2614</v>
      </c>
      <c r="G44" s="734">
        <f>H40*F42+G40</f>
        <v>2514930</v>
      </c>
      <c r="H44" s="734"/>
      <c r="I44" s="2"/>
      <c r="J44" s="734">
        <f>K40*1.37+J40</f>
        <v>1877697.6600000001</v>
      </c>
      <c r="K44" s="734"/>
      <c r="L44" s="2"/>
      <c r="M44" s="734">
        <f>N40*1.37+M40</f>
        <v>1789659</v>
      </c>
      <c r="N44" s="734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31" t="s">
        <v>1194</v>
      </c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</row>
    <row r="48" spans="2:19" x14ac:dyDescent="0.25">
      <c r="B48" s="731" t="s">
        <v>2612</v>
      </c>
      <c r="C48" s="731"/>
      <c r="D48" s="731"/>
      <c r="E48" s="731"/>
      <c r="F48" s="731"/>
      <c r="G48" s="731"/>
      <c r="H48" s="731"/>
      <c r="I48" s="731"/>
      <c r="J48" s="731"/>
      <c r="K48" s="731"/>
      <c r="L48" s="731"/>
      <c r="M48" s="731"/>
      <c r="N48" s="731"/>
    </row>
    <row r="49" spans="2:14" x14ac:dyDescent="0.25">
      <c r="B49" s="731" t="s">
        <v>2611</v>
      </c>
      <c r="C49" s="731"/>
      <c r="D49" s="731"/>
      <c r="E49" s="731"/>
      <c r="F49" s="731"/>
      <c r="G49" s="731"/>
      <c r="H49" s="731"/>
      <c r="I49" s="731"/>
      <c r="J49" s="731"/>
      <c r="K49" s="731"/>
      <c r="L49" s="731"/>
      <c r="M49" s="731"/>
      <c r="N49" s="731"/>
    </row>
    <row r="50" spans="2:14" x14ac:dyDescent="0.25">
      <c r="B50" s="730" t="s">
        <v>2610</v>
      </c>
      <c r="C50" s="730"/>
      <c r="D50" s="730"/>
      <c r="E50" s="730"/>
      <c r="F50" s="730"/>
      <c r="G50" s="730"/>
      <c r="H50" s="730"/>
      <c r="I50" s="730"/>
      <c r="J50" s="730"/>
      <c r="K50" s="730"/>
      <c r="L50" s="730"/>
      <c r="M50" s="730"/>
      <c r="N50" s="730"/>
    </row>
    <row r="51" spans="2:14" x14ac:dyDescent="0.25">
      <c r="B51" s="730"/>
      <c r="C51" s="730"/>
      <c r="D51" s="730"/>
      <c r="E51" s="730"/>
      <c r="F51" s="730"/>
      <c r="G51" s="730"/>
      <c r="H51" s="730"/>
      <c r="I51" s="730"/>
      <c r="J51" s="730"/>
      <c r="K51" s="730"/>
      <c r="L51" s="730"/>
      <c r="M51" s="730"/>
      <c r="N51" s="730"/>
    </row>
    <row r="52" spans="2:14" x14ac:dyDescent="0.25">
      <c r="B52" s="730"/>
      <c r="C52" s="730"/>
      <c r="D52" s="730"/>
      <c r="E52" s="730"/>
      <c r="F52" s="730"/>
      <c r="G52" s="730"/>
      <c r="H52" s="730"/>
      <c r="I52" s="730"/>
      <c r="J52" s="730"/>
      <c r="K52" s="730"/>
      <c r="L52" s="730"/>
      <c r="M52" s="730"/>
      <c r="N52" s="730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1"/>
  <sheetViews>
    <sheetView tabSelected="1"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21875" style="696" bestFit="1" customWidth="1"/>
    <col min="3" max="3" width="11.5546875" style="709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706"/>
    </row>
    <row r="2" spans="2:10" x14ac:dyDescent="0.25">
      <c r="B2" s="703" t="s">
        <v>467</v>
      </c>
      <c r="C2" s="707" t="s">
        <v>466</v>
      </c>
      <c r="D2" s="702" t="s">
        <v>462</v>
      </c>
      <c r="E2" s="703" t="s">
        <v>461</v>
      </c>
      <c r="F2" s="701" t="s">
        <v>463</v>
      </c>
      <c r="G2" s="704" t="s">
        <v>2716</v>
      </c>
      <c r="H2" s="704" t="s">
        <v>464</v>
      </c>
    </row>
    <row r="3" spans="2:10" x14ac:dyDescent="0.25">
      <c r="B3" s="63"/>
      <c r="C3" s="708"/>
      <c r="D3" s="63"/>
      <c r="E3" s="90"/>
      <c r="F3" s="90"/>
      <c r="G3" s="90"/>
      <c r="H3" s="90"/>
    </row>
    <row r="4" spans="2:10" x14ac:dyDescent="0.25">
      <c r="B4" s="63" t="s">
        <v>2727</v>
      </c>
      <c r="C4" s="708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2725</v>
      </c>
      <c r="C5" s="708">
        <v>44561</v>
      </c>
      <c r="D5" s="63" t="s">
        <v>2733</v>
      </c>
      <c r="E5" s="90">
        <v>505987.67999999993</v>
      </c>
      <c r="F5" s="63" t="s">
        <v>2733</v>
      </c>
      <c r="G5" s="90"/>
      <c r="H5" s="90"/>
      <c r="J5" s="52"/>
    </row>
    <row r="6" spans="2:10" s="700" customFormat="1" x14ac:dyDescent="0.25">
      <c r="B6" s="63" t="s">
        <v>922</v>
      </c>
      <c r="C6" s="70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700" customFormat="1" x14ac:dyDescent="0.25">
      <c r="B7" s="63" t="s">
        <v>922</v>
      </c>
      <c r="C7" s="70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700" customFormat="1" x14ac:dyDescent="0.25">
      <c r="B8" s="63" t="s">
        <v>2719</v>
      </c>
      <c r="C8" s="70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700" customFormat="1" x14ac:dyDescent="0.25">
      <c r="B9" s="63" t="s">
        <v>2719</v>
      </c>
      <c r="C9" s="70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700" customFormat="1" x14ac:dyDescent="0.25">
      <c r="B10" s="63" t="s">
        <v>2719</v>
      </c>
      <c r="C10" s="70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700" customFormat="1" x14ac:dyDescent="0.25">
      <c r="B11" s="63" t="s">
        <v>2719</v>
      </c>
      <c r="C11" s="70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700" customFormat="1" x14ac:dyDescent="0.25">
      <c r="B12" s="63" t="s">
        <v>2719</v>
      </c>
      <c r="C12" s="70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9" customFormat="1" x14ac:dyDescent="0.25">
      <c r="B13" s="63" t="s">
        <v>2719</v>
      </c>
      <c r="C13" s="70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9" customFormat="1" x14ac:dyDescent="0.25">
      <c r="B14" s="63" t="s">
        <v>2719</v>
      </c>
      <c r="C14" s="70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9" customFormat="1" x14ac:dyDescent="0.25">
      <c r="B15" s="63" t="s">
        <v>2719</v>
      </c>
      <c r="C15" s="70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9" customFormat="1" x14ac:dyDescent="0.25">
      <c r="B16" s="63" t="s">
        <v>2719</v>
      </c>
      <c r="C16" s="70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4" customFormat="1" x14ac:dyDescent="0.25">
      <c r="B17" s="63" t="s">
        <v>2719</v>
      </c>
      <c r="C17" s="70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4" customFormat="1" x14ac:dyDescent="0.25">
      <c r="B18" s="63" t="s">
        <v>2718</v>
      </c>
      <c r="C18" s="70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4" customFormat="1" x14ac:dyDescent="0.25">
      <c r="B19" s="63" t="s">
        <v>2715</v>
      </c>
      <c r="C19" s="70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4" customFormat="1" x14ac:dyDescent="0.25">
      <c r="B20" s="63" t="s">
        <v>2720</v>
      </c>
      <c r="C20" s="70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2717</v>
      </c>
      <c r="C21" s="708">
        <v>43710</v>
      </c>
      <c r="D21" s="805">
        <v>1740000</v>
      </c>
      <c r="E21" s="90">
        <f t="shared" si="0"/>
        <v>1090821.68</v>
      </c>
      <c r="F21" s="697">
        <v>1740000</v>
      </c>
      <c r="G21" s="90">
        <v>46524</v>
      </c>
      <c r="H21" s="90">
        <f>F21/G21</f>
        <v>37.400051586278053</v>
      </c>
    </row>
    <row r="22" spans="2:11" s="694" customFormat="1" x14ac:dyDescent="0.25">
      <c r="B22" s="186"/>
      <c r="C22" s="708">
        <v>43553</v>
      </c>
      <c r="D22" s="806"/>
      <c r="E22" s="90">
        <f t="shared" si="0"/>
        <v>1090821.68</v>
      </c>
      <c r="F22" s="697">
        <v>100</v>
      </c>
      <c r="G22" s="90"/>
      <c r="H22" s="90"/>
    </row>
    <row r="23" spans="2:11" x14ac:dyDescent="0.25">
      <c r="B23" s="63" t="s">
        <v>1038</v>
      </c>
      <c r="C23" s="70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4" customFormat="1" x14ac:dyDescent="0.25">
      <c r="B24" s="63" t="s">
        <v>2732</v>
      </c>
      <c r="C24" s="708">
        <v>43100</v>
      </c>
      <c r="D24" s="63" t="s">
        <v>2733</v>
      </c>
      <c r="E24" s="90">
        <v>705314.48</v>
      </c>
      <c r="F24" s="63" t="s">
        <v>2733</v>
      </c>
      <c r="G24" s="90"/>
      <c r="H24" s="90"/>
      <c r="K24" s="52"/>
    </row>
    <row r="25" spans="2:11" x14ac:dyDescent="0.25">
      <c r="B25" s="63" t="s">
        <v>2730</v>
      </c>
      <c r="C25" s="708" t="s">
        <v>2707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5" customFormat="1" x14ac:dyDescent="0.25">
      <c r="B26" s="63" t="s">
        <v>2726</v>
      </c>
      <c r="C26" s="708" t="s">
        <v>2731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2728</v>
      </c>
      <c r="C35" s="70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2729</v>
      </c>
      <c r="C36" s="70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5" customFormat="1" x14ac:dyDescent="0.25">
      <c r="B38" s="63"/>
      <c r="C38" s="708"/>
      <c r="D38" s="63"/>
      <c r="E38" s="807" t="s">
        <v>2736</v>
      </c>
      <c r="F38" s="808"/>
      <c r="G38" s="90"/>
      <c r="H38" s="90"/>
    </row>
    <row r="39" spans="2:8" x14ac:dyDescent="0.25">
      <c r="B39" s="63" t="s">
        <v>2734</v>
      </c>
      <c r="C39" s="70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2735</v>
      </c>
    </row>
    <row r="41" spans="2:8" ht="17.399999999999999" x14ac:dyDescent="0.3">
      <c r="B41" s="741" t="s">
        <v>996</v>
      </c>
      <c r="C41" s="741"/>
      <c r="D41" s="741"/>
      <c r="E41" s="741"/>
      <c r="F41" s="741"/>
      <c r="G41" s="741"/>
      <c r="H41" s="7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1295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21" t="s">
        <v>915</v>
      </c>
      <c r="C1" s="721"/>
      <c r="D1" s="720" t="s">
        <v>521</v>
      </c>
      <c r="E1" s="720"/>
      <c r="F1" s="721" t="s">
        <v>519</v>
      </c>
      <c r="G1" s="721"/>
      <c r="H1" s="742" t="s">
        <v>555</v>
      </c>
      <c r="I1" s="742"/>
      <c r="J1" s="720" t="s">
        <v>521</v>
      </c>
      <c r="K1" s="720"/>
      <c r="L1" s="721" t="s">
        <v>914</v>
      </c>
      <c r="M1" s="721"/>
      <c r="N1" s="742" t="s">
        <v>555</v>
      </c>
      <c r="O1" s="742"/>
      <c r="P1" s="720" t="s">
        <v>521</v>
      </c>
      <c r="Q1" s="720"/>
      <c r="R1" s="721" t="s">
        <v>558</v>
      </c>
      <c r="S1" s="721"/>
      <c r="T1" s="742" t="s">
        <v>555</v>
      </c>
      <c r="U1" s="742"/>
      <c r="V1" s="720" t="s">
        <v>521</v>
      </c>
      <c r="W1" s="720"/>
      <c r="X1" s="721" t="s">
        <v>913</v>
      </c>
      <c r="Y1" s="721"/>
      <c r="Z1" s="742" t="s">
        <v>555</v>
      </c>
      <c r="AA1" s="742"/>
      <c r="AB1" s="720" t="s">
        <v>521</v>
      </c>
      <c r="AC1" s="720"/>
      <c r="AD1" s="721" t="s">
        <v>597</v>
      </c>
      <c r="AE1" s="721"/>
      <c r="AF1" s="742" t="s">
        <v>555</v>
      </c>
      <c r="AG1" s="742"/>
      <c r="AH1" s="720" t="s">
        <v>521</v>
      </c>
      <c r="AI1" s="720"/>
      <c r="AJ1" s="721" t="s">
        <v>912</v>
      </c>
      <c r="AK1" s="721"/>
      <c r="AL1" s="742" t="s">
        <v>632</v>
      </c>
      <c r="AM1" s="742"/>
      <c r="AN1" s="720" t="s">
        <v>633</v>
      </c>
      <c r="AO1" s="720"/>
      <c r="AP1" s="721" t="s">
        <v>627</v>
      </c>
      <c r="AQ1" s="721"/>
      <c r="AR1" s="742" t="s">
        <v>555</v>
      </c>
      <c r="AS1" s="742"/>
      <c r="AT1" s="720" t="s">
        <v>521</v>
      </c>
      <c r="AU1" s="720"/>
      <c r="AV1" s="721" t="s">
        <v>911</v>
      </c>
      <c r="AW1" s="721"/>
      <c r="AX1" s="742" t="s">
        <v>555</v>
      </c>
      <c r="AY1" s="742"/>
      <c r="AZ1" s="720" t="s">
        <v>521</v>
      </c>
      <c r="BA1" s="720"/>
      <c r="BB1" s="721" t="s">
        <v>659</v>
      </c>
      <c r="BC1" s="721"/>
      <c r="BD1" s="742" t="s">
        <v>555</v>
      </c>
      <c r="BE1" s="742"/>
      <c r="BF1" s="720" t="s">
        <v>521</v>
      </c>
      <c r="BG1" s="720"/>
      <c r="BH1" s="721" t="s">
        <v>910</v>
      </c>
      <c r="BI1" s="721"/>
      <c r="BJ1" s="742" t="s">
        <v>555</v>
      </c>
      <c r="BK1" s="742"/>
      <c r="BL1" s="720" t="s">
        <v>521</v>
      </c>
      <c r="BM1" s="720"/>
      <c r="BN1" s="721" t="s">
        <v>928</v>
      </c>
      <c r="BO1" s="721"/>
      <c r="BP1" s="742" t="s">
        <v>555</v>
      </c>
      <c r="BQ1" s="742"/>
      <c r="BR1" s="720" t="s">
        <v>521</v>
      </c>
      <c r="BS1" s="720"/>
      <c r="BT1" s="721" t="s">
        <v>909</v>
      </c>
      <c r="BU1" s="721"/>
      <c r="BV1" s="742" t="s">
        <v>710</v>
      </c>
      <c r="BW1" s="742"/>
      <c r="BX1" s="720" t="s">
        <v>711</v>
      </c>
      <c r="BY1" s="720"/>
      <c r="BZ1" s="721" t="s">
        <v>709</v>
      </c>
      <c r="CA1" s="721"/>
      <c r="CB1" s="742" t="s">
        <v>736</v>
      </c>
      <c r="CC1" s="742"/>
      <c r="CD1" s="720" t="s">
        <v>737</v>
      </c>
      <c r="CE1" s="720"/>
      <c r="CF1" s="721" t="s">
        <v>908</v>
      </c>
      <c r="CG1" s="721"/>
      <c r="CH1" s="742" t="s">
        <v>736</v>
      </c>
      <c r="CI1" s="742"/>
      <c r="CJ1" s="720" t="s">
        <v>737</v>
      </c>
      <c r="CK1" s="720"/>
      <c r="CL1" s="721" t="s">
        <v>754</v>
      </c>
      <c r="CM1" s="721"/>
      <c r="CN1" s="742" t="s">
        <v>736</v>
      </c>
      <c r="CO1" s="742"/>
      <c r="CP1" s="720" t="s">
        <v>737</v>
      </c>
      <c r="CQ1" s="720"/>
      <c r="CR1" s="721" t="s">
        <v>907</v>
      </c>
      <c r="CS1" s="721"/>
      <c r="CT1" s="742" t="s">
        <v>736</v>
      </c>
      <c r="CU1" s="742"/>
      <c r="CV1" s="746" t="s">
        <v>737</v>
      </c>
      <c r="CW1" s="746"/>
      <c r="CX1" s="721" t="s">
        <v>775</v>
      </c>
      <c r="CY1" s="721"/>
      <c r="CZ1" s="742" t="s">
        <v>736</v>
      </c>
      <c r="DA1" s="742"/>
      <c r="DB1" s="746" t="s">
        <v>737</v>
      </c>
      <c r="DC1" s="746"/>
      <c r="DD1" s="721" t="s">
        <v>906</v>
      </c>
      <c r="DE1" s="721"/>
      <c r="DF1" s="742" t="s">
        <v>822</v>
      </c>
      <c r="DG1" s="742"/>
      <c r="DH1" s="746" t="s">
        <v>823</v>
      </c>
      <c r="DI1" s="746"/>
      <c r="DJ1" s="721" t="s">
        <v>815</v>
      </c>
      <c r="DK1" s="721"/>
      <c r="DL1" s="742" t="s">
        <v>822</v>
      </c>
      <c r="DM1" s="742"/>
      <c r="DN1" s="746" t="s">
        <v>737</v>
      </c>
      <c r="DO1" s="746"/>
      <c r="DP1" s="721" t="s">
        <v>905</v>
      </c>
      <c r="DQ1" s="721"/>
      <c r="DR1" s="742" t="s">
        <v>822</v>
      </c>
      <c r="DS1" s="742"/>
      <c r="DT1" s="746" t="s">
        <v>737</v>
      </c>
      <c r="DU1" s="746"/>
      <c r="DV1" s="721" t="s">
        <v>904</v>
      </c>
      <c r="DW1" s="721"/>
      <c r="DX1" s="742" t="s">
        <v>822</v>
      </c>
      <c r="DY1" s="742"/>
      <c r="DZ1" s="746" t="s">
        <v>737</v>
      </c>
      <c r="EA1" s="746"/>
      <c r="EB1" s="721" t="s">
        <v>903</v>
      </c>
      <c r="EC1" s="721"/>
      <c r="ED1" s="742" t="s">
        <v>822</v>
      </c>
      <c r="EE1" s="742"/>
      <c r="EF1" s="746" t="s">
        <v>737</v>
      </c>
      <c r="EG1" s="746"/>
      <c r="EH1" s="721" t="s">
        <v>889</v>
      </c>
      <c r="EI1" s="721"/>
      <c r="EJ1" s="742" t="s">
        <v>822</v>
      </c>
      <c r="EK1" s="742"/>
      <c r="EL1" s="746" t="s">
        <v>943</v>
      </c>
      <c r="EM1" s="746"/>
      <c r="EN1" s="721" t="s">
        <v>929</v>
      </c>
      <c r="EO1" s="721"/>
      <c r="EP1" s="742" t="s">
        <v>822</v>
      </c>
      <c r="EQ1" s="742"/>
      <c r="ER1" s="746" t="s">
        <v>957</v>
      </c>
      <c r="ES1" s="746"/>
      <c r="ET1" s="721" t="s">
        <v>944</v>
      </c>
      <c r="EU1" s="721"/>
      <c r="EV1" s="742" t="s">
        <v>822</v>
      </c>
      <c r="EW1" s="742"/>
      <c r="EX1" s="746" t="s">
        <v>536</v>
      </c>
      <c r="EY1" s="746"/>
      <c r="EZ1" s="721" t="s">
        <v>959</v>
      </c>
      <c r="FA1" s="721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45" t="s">
        <v>785</v>
      </c>
      <c r="CU7" s="721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45" t="s">
        <v>784</v>
      </c>
      <c r="DA8" s="721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45" t="s">
        <v>784</v>
      </c>
      <c r="DG8" s="721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45" t="s">
        <v>784</v>
      </c>
      <c r="DM8" s="721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45" t="s">
        <v>784</v>
      </c>
      <c r="DS8" s="721"/>
      <c r="DT8" s="145" t="s">
        <v>789</v>
      </c>
      <c r="DU8" s="145">
        <f>SUM(DU13:DU17)</f>
        <v>32</v>
      </c>
      <c r="DV8" s="63"/>
      <c r="DW8" s="63"/>
      <c r="DX8" s="745" t="s">
        <v>784</v>
      </c>
      <c r="DY8" s="721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45" t="s">
        <v>935</v>
      </c>
      <c r="EK8" s="721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45" t="s">
        <v>935</v>
      </c>
      <c r="EQ9" s="721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45" t="s">
        <v>935</v>
      </c>
      <c r="EW9" s="721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45" t="s">
        <v>935</v>
      </c>
      <c r="EE11" s="721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45" t="s">
        <v>784</v>
      </c>
      <c r="CU12" s="721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0" t="s">
        <v>788</v>
      </c>
      <c r="CU19" s="71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1" t="s">
        <v>864</v>
      </c>
      <c r="FA21" s="731"/>
      <c r="FC21" s="242">
        <f>FC20-FC22</f>
        <v>113457.16899999997</v>
      </c>
      <c r="FD21" s="234"/>
      <c r="FE21" s="747" t="s">
        <v>1554</v>
      </c>
      <c r="FF21" s="747"/>
      <c r="FG21" s="747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1" t="s">
        <v>877</v>
      </c>
      <c r="FA22" s="731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1" t="s">
        <v>1007</v>
      </c>
      <c r="FA23" s="731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1" t="s">
        <v>1083</v>
      </c>
      <c r="FA24" s="731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43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44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43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44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2023-02-23T04:44:33Z</dcterms:modified>
</cp:coreProperties>
</file>