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9FFA963-4643-41E7-BE7E-CF666BDA083A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4" l="1"/>
  <c r="G21" i="34"/>
  <c r="G23" i="34"/>
  <c r="H6" i="34"/>
  <c r="H10" i="34"/>
  <c r="G20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G42" i="34" s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<sst xmlns="http://schemas.openxmlformats.org/spreadsheetml/2006/main" count="8015" uniqueCount="3312">
  <si>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</si>
  <si>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</si>
  <si>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</si>
  <si>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</si>
  <si>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</si>
  <si>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</si>
  <si>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</si>
  <si>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</si>
  <si>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</si>
  <si>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</si>
  <si>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</si>
  <si>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</si>
  <si>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</si>
  <si>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</si>
  <si>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</si>
  <si>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</si>
  <si>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</si>
  <si>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</si>
  <si>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</si>
  <si>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</si>
  <si>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</si>
  <si>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</si>
  <si>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</si>
  <si>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</si>
  <si>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</si>
  <si>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</si>
  <si>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</si>
  <si>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</si>
  <si>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</si>
  <si>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</si>
  <si>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</si>
  <si>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</si>
  <si>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</si>
  <si>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</si>
  <si>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</si>
  <si>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</si>
  <si>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</si>
  <si>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</si>
  <si>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</si>
  <si>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</si>
  <si>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</si>
  <si>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</si>
  <si>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</si>
  <si>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</si>
  <si>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</si>
  <si>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</si>
  <si>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</si>
  <si>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</si>
  <si>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</si>
  <si>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</si>
  <si>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</si>
  <si>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</si>
  <si>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</si>
  <si>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</si>
  <si>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</si>
  <si>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</si>
  <si>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</si>
  <si>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</si>
  <si>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</si>
  <si>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</si>
  <si>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</si>
  <si>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</si>
  <si>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</si>
  <si>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</si>
  <si>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</si>
  <si>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</si>
  <si>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</si>
  <si>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</si>
  <si>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</si>
  <si>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</si>
  <si>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</si>
  <si>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</si>
  <si>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</si>
  <si>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</si>
  <si>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</si>
  <si>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</si>
  <si>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</si>
  <si>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</si>
  <si>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</si>
  <si>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</si>
  <si>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</si>
  <si>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</si>
  <si>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</si>
  <si>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</si>
  <si>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</si>
  <si>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</si>
  <si>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</si>
  <si>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</si>
  <si>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</si>
  <si>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</si>
  <si>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</si>
  <si>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</si>
  <si>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</si>
  <si>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</si>
  <si>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</si>
  <si>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</si>
  <si>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</si>
  <si>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</si>
  <si>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</si>
  <si>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</si>
  <si>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</si>
  <si>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</si>
  <si>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</si>
  <si>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</si>
  <si>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</si>
  <si>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</si>
  <si>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</si>
  <si>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</si>
  <si>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</si>
  <si>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</si>
  <si>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</si>
  <si>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</si>
  <si>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</si>
  <si>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</si>
  <si>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</si>
  <si>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</si>
  <si>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</si>
  <si>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</si>
  <si>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</si>
  <si>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</si>
  <si>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</si>
  <si>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</si>
  <si>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</si>
  <si>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</si>
  <si>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</si>
  <si>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</si>
  <si>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</si>
  <si>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</si>
  <si>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</si>
  <si>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</si>
  <si>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</si>
  <si>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</si>
  <si>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</si>
  <si>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</si>
  <si>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</si>
  <si>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</si>
  <si>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</si>
  <si>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</si>
  <si>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</si>
  <si>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</si>
  <si>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</si>
  <si>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</si>
  <si>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</si>
  <si>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</si>
  <si>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</si>
  <si>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</si>
  <si>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</si>
  <si>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</si>
  <si>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</si>
  <si>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</si>
  <si>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</si>
  <si>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</si>
  <si>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</si>
  <si>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</si>
  <si>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</si>
  <si>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</si>
  <si>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</si>
  <si>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</si>
  <si>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</si>
  <si>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</si>
  <si>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</si>
  <si>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</si>
  <si>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</si>
  <si>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</si>
  <si>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</si>
  <si>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</si>
  <si>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</si>
  <si>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</si>
  <si>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</si>
  <si>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</si>
  <si>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</si>
  <si>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</si>
  <si>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</si>
  <si>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</si>
  <si>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</si>
  <si>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</si>
  <si>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</si>
  <si>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</si>
  <si>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</si>
  <si>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</si>
  <si>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</si>
  <si>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</si>
  <si>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</si>
  <si>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</si>
  <si>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</si>
  <si>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</si>
  <si>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</si>
  <si>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</si>
  <si>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</si>
  <si>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</si>
  <si>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</si>
  <si>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</si>
  <si>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</si>
  <si>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</si>
  <si>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</si>
  <si>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</si>
  <si>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</si>
  <si>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</si>
  <si>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</si>
  <si>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</si>
  <si>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</si>
  <si>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</si>
  <si>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</si>
  <si>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</si>
  <si>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</si>
  <si>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</si>
  <si>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</si>
  <si>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</si>
  <si>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</si>
  <si>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</si>
  <si>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</si>
  <si>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</si>
  <si>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</si>
  <si>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</si>
  <si>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</si>
  <si>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</si>
  <si>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</si>
  <si>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</si>
  <si>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</si>
  <si>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</si>
  <si>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</si>
  <si>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</si>
  <si>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</si>
  <si>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</si>
  <si>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</si>
  <si>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</si>
  <si>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</si>
  <si>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</si>
  <si>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</si>
  <si>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</si>
  <si>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</si>
  <si>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</si>
  <si>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</si>
  <si>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</si>
  <si>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</si>
  <si>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</si>
  <si>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</si>
  <si>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</si>
  <si>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</si>
  <si>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</si>
  <si>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</si>
  <si>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</si>
  <si>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</si>
  <si>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</si>
  <si>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</si>
  <si>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</si>
  <si>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</si>
  <si>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</si>
  <si>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</si>
  <si>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</si>
  <si>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</si>
  <si>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</si>
  <si>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</si>
  <si>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</si>
  <si>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</si>
  <si>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</si>
  <si>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</si>
  <si>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</si>
  <si>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</si>
  <si>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</si>
  <si>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</si>
  <si>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</si>
  <si>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</si>
  <si>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</si>
  <si>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</si>
  <si>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</si>
  <si>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</si>
  <si>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</si>
  <si>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</si>
  <si>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</si>
  <si>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</si>
  <si>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</si>
  <si>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</si>
  <si>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</si>
  <si>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</si>
  <si>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</si>
  <si>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</si>
  <si>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</si>
  <si>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</si>
  <si>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</si>
  <si>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</si>
  <si>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</si>
  <si>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</si>
  <si>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</si>
  <si>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</si>
  <si>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</si>
  <si>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</si>
  <si>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</si>
  <si>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</si>
  <si>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</si>
  <si>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</si>
  <si>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</si>
  <si>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</si>
  <si>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</si>
  <si>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</si>
  <si>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</si>
  <si>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</si>
  <si>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</si>
  <si>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</si>
  <si>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</si>
  <si>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</si>
  <si>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</si>
  <si>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</si>
  <si>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</si>
  <si>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</si>
  <si>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</si>
  <si>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</si>
  <si>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</si>
  <si>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</si>
  <si>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</si>
  <si>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</si>
  <si>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</si>
  <si>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</si>
  <si>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</si>
  <si>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</si>
  <si>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</si>
  <si>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</si>
  <si>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</si>
  <si>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</si>
  <si>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</si>
  <si>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</si>
  <si>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</si>
  <si>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</si>
  <si>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</si>
  <si>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</si>
  <si>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</si>
  <si>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</si>
  <si>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</si>
  <si>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</si>
  <si>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</si>
  <si>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</si>
  <si>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</si>
  <si>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</si>
  <si>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</si>
  <si>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</si>
  <si>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</si>
  <si>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</si>
  <si>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</si>
  <si>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</si>
  <si>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</si>
  <si>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</si>
  <si>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</si>
  <si>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</si>
  <si>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</si>
  <si>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</si>
  <si>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</si>
  <si>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</si>
  <si>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</si>
  <si>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</si>
  <si>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</si>
  <si>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</si>
  <si>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</si>
  <si>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</si>
  <si>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</si>
  <si>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</si>
  <si>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</si>
  <si>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</si>
  <si>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</si>
  <si>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</si>
  <si>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</si>
  <si>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</si>
  <si>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</si>
  <si>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</si>
  <si>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</si>
  <si>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</si>
  <si>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</si>
  <si>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</si>
  <si>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</si>
  <si>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</si>
  <si>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</si>
  <si>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</si>
  <si>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</si>
  <si>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</si>
  <si>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</si>
  <si>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</si>
  <si>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</si>
  <si>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</si>
  <si>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</si>
  <si>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</si>
  <si>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</si>
  <si>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</si>
  <si>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</si>
  <si>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</si>
  <si>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</si>
  <si>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</si>
  <si>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</si>
  <si>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</si>
  <si>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</si>
  <si>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</si>
  <si>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</si>
  <si>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</si>
  <si>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</si>
  <si>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</si>
  <si>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</si>
  <si>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</si>
  <si>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</si>
  <si>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</si>
  <si>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</si>
  <si>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</si>
  <si>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</si>
  <si>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</si>
  <si>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</si>
  <si>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</si>
  <si>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</si>
  <si>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</si>
  <si>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</si>
  <si>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</si>
  <si>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</si>
  <si>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</si>
  <si>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</si>
  <si>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</si>
  <si>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</si>
  <si>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</si>
  <si>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</si>
  <si>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</si>
  <si>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</si>
  <si>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</si>
  <si>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</si>
  <si>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</si>
  <si>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</si>
  <si>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</si>
  <si>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</si>
  <si>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</si>
  <si>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</si>
  <si>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</si>
  <si>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</si>
  <si>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</si>
  <si>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</si>
  <si>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</si>
  <si>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</si>
  <si>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</si>
  <si>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</si>
  <si>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</si>
  <si>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</si>
  <si>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</si>
  <si>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</si>
  <si>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</si>
  <si>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</si>
  <si>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</si>
  <si>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</si>
  <si>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</si>
  <si>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</si>
  <si>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</si>
  <si>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</si>
  <si>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</si>
  <si>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</si>
  <si>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</si>
  <si>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</si>
  <si>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</si>
  <si>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</si>
  <si>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</si>
  <si>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</si>
  <si>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</si>
  <si>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</si>
  <si>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</si>
  <si>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</si>
  <si>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</si>
  <si>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</si>
  <si>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</si>
  <si>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</si>
  <si>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</si>
  <si>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</si>
  <si>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</si>
  <si>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</si>
  <si>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</si>
  <si>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</si>
  <si>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</si>
  <si>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</si>
  <si>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</si>
  <si>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</si>
  <si>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</si>
  <si>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</si>
  <si>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</si>
  <si>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</si>
  <si>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</si>
  <si>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</si>
  <si>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</si>
  <si>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</si>
  <si>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</si>
  <si>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</si>
  <si>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</si>
  <si>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</si>
  <si>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</si>
  <si>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</si>
  <si>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</si>
  <si>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</si>
  <si>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</si>
  <si>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</si>
  <si>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</si>
  <si>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</si>
  <si>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</si>
  <si>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</si>
  <si>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</si>
  <si>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</si>
  <si>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</si>
  <si>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</si>
  <si>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</si>
  <si>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</si>
  <si>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</si>
  <si>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</si>
  <si>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</si>
  <si>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</si>
  <si>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</si>
  <si>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</si>
  <si>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</si>
  <si>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</si>
  <si>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</si>
  <si>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</si>
  <si>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</si>
  <si>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</si>
  <si>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</si>
  <si>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</si>
  <si>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</si>
  <si>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</si>
  <si>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</si>
  <si>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</si>
  <si>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</si>
  <si>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</si>
  <si>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</si>
  <si>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</si>
  <si>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</si>
  <si>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</si>
  <si>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</si>
  <si>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</si>
  <si>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</si>
  <si>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</si>
  <si>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</si>
  <si>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</si>
  <si>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</si>
  <si>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</si>
  <si>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</si>
  <si>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</si>
  <si>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</si>
  <si>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</si>
  <si>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</si>
  <si>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</si>
  <si>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</si>
  <si>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</si>
  <si>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</si>
  <si>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</si>
  <si>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</si>
  <si>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</si>
  <si>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</si>
  <si>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</si>
  <si>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</si>
  <si>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</si>
  <si>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</si>
  <si>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</si>
  <si>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</si>
  <si>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</si>
  <si>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</si>
  <si>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</si>
  <si>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</si>
  <si>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</si>
  <si>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</si>
  <si>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</si>
  <si>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</si>
  <si>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</si>
  <si>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</si>
  <si>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</si>
  <si>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</si>
  <si>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</si>
  <si>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</si>
  <si>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</si>
  <si>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</si>
  <si>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</si>
  <si>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</si>
  <si>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</si>
  <si>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</si>
  <si>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</si>
  <si>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</si>
  <si>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</si>
  <si>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</si>
  <si>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</si>
  <si>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</si>
  <si>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</si>
  <si>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</si>
  <si>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</si>
  <si>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</si>
  <si>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</si>
  <si>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</si>
  <si>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</si>
  <si>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</si>
  <si>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</si>
  <si>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</si>
  <si>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</si>
  <si>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</si>
  <si>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</si>
  <si>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</si>
  <si>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</si>
  <si>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</si>
  <si>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</si>
  <si>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</si>
  <si>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</si>
  <si>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</si>
  <si>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</si>
  <si>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</si>
  <si>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</si>
  <si>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</si>
  <si>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</si>
  <si>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</si>
  <si>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</si>
  <si>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</si>
  <si>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</si>
  <si>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</si>
  <si>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</si>
  <si>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</si>
  <si>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</si>
  <si>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</si>
  <si>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</si>
  <si>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</si>
  <si>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</si>
  <si>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</si>
  <si>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</si>
  <si>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</si>
  <si>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</si>
  <si>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</si>
  <si>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</si>
  <si>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</si>
  <si>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</si>
  <si>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</si>
  <si>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</si>
  <si>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</si>
  <si>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</si>
  <si>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</si>
  <si>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</si>
  <si>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</si>
  <si>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</si>
  <si>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</si>
  <si>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</si>
  <si>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</si>
  <si>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</si>
  <si>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</si>
  <si>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</si>
  <si>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</si>
  <si>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</si>
  <si>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</si>
  <si>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</si>
  <si>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</si>
  <si>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</si>
  <si>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</si>
  <si>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</si>
  <si>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</si>
  <si>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</si>
  <si>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</si>
  <si>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</si>
  <si>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</si>
  <si>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</si>
  <si>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</si>
  <si>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</si>
  <si>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</si>
  <si>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</si>
  <si>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</si>
  <si>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</si>
  <si>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</si>
  <si>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</si>
  <si>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</si>
  <si>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</si>
  <si>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</si>
  <si>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</si>
  <si>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</si>
  <si>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</si>
  <si>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</si>
  <si>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</si>
  <si>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</si>
  <si>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</si>
  <si>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</si>
  <si>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</si>
  <si>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</si>
  <si>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</si>
  <si>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</si>
  <si>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</si>
  <si>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</si>
  <si>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</si>
  <si>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</si>
  <si>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</si>
  <si>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</si>
  <si>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</si>
  <si>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</si>
  <si>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</si>
  <si>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</si>
  <si>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</si>
  <si>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</si>
  <si>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</si>
  <si>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</si>
  <si>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</si>
  <si>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</si>
  <si>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</si>
  <si>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</si>
  <si>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</si>
  <si>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</si>
  <si>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</si>
  <si>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</si>
  <si>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</si>
  <si>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</si>
  <si>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</si>
  <si>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</si>
  <si>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</si>
  <si>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</si>
  <si>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</si>
  <si>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</si>
  <si>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</si>
  <si>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</si>
  <si>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</si>
  <si>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</si>
  <si>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</si>
  <si>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</si>
  <si>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</si>
  <si>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</si>
  <si>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</si>
  <si>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</si>
  <si>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</si>
  <si>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</si>
  <si>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</si>
  <si>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</si>
  <si>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</si>
  <si>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</si>
  <si>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</si>
  <si>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</si>
  <si>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</si>
  <si>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</si>
  <si>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</si>
  <si>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</si>
  <si>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</si>
  <si>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</si>
  <si>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</si>
  <si>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</si>
  <si>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</si>
  <si>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</si>
  <si>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</si>
  <si>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</si>
  <si>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</si>
  <si>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</si>
  <si>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</si>
  <si>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</si>
  <si>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</si>
  <si>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</si>
  <si>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</si>
  <si>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</si>
  <si>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</si>
  <si>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</si>
  <si>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</si>
  <si>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</si>
  <si>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</si>
  <si>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</si>
  <si>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</si>
  <si>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</si>
  <si>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</si>
  <si>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</si>
  <si>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</si>
  <si>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</si>
  <si>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</si>
  <si>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</si>
  <si>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</si>
  <si>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</si>
  <si>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</si>
  <si>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</si>
  <si>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</si>
  <si>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</si>
  <si>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</si>
  <si>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</si>
  <si>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</si>
  <si>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</si>
  <si>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</si>
  <si>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</si>
  <si>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</si>
  <si>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</si>
  <si>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</si>
  <si>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</si>
  <si>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</si>
  <si>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</si>
  <si>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</si>
  <si>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</si>
  <si>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</si>
  <si>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</si>
  <si>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</si>
  <si>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</si>
  <si>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</si>
  <si>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</si>
  <si>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</si>
  <si>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</si>
  <si>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</si>
  <si>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</si>
  <si>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</si>
  <si>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</si>
  <si>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</si>
  <si>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</si>
  <si>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</si>
  <si>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</si>
  <si>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</si>
  <si>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</si>
  <si>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</si>
  <si>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</si>
  <si>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</si>
  <si>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</si>
  <si>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</si>
  <si>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</si>
  <si>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</si>
  <si>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</si>
  <si>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</si>
  <si>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</si>
  <si>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</si>
  <si>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</si>
  <si>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</si>
  <si>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</si>
  <si>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</si>
  <si>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</si>
  <si>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</si>
  <si>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</si>
  <si>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</si>
  <si>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</si>
  <si>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</si>
  <si>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</si>
  <si>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</si>
  <si>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</si>
  <si>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</si>
  <si>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</si>
  <si>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</si>
  <si>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</si>
  <si>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</si>
  <si>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</si>
  <si>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</si>
  <si>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</si>
  <si>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</si>
  <si>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</si>
  <si>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</si>
  <si>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</si>
  <si>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</si>
  <si>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</si>
  <si>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</si>
  <si>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</si>
  <si>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</si>
  <si>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</si>
  <si>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</si>
  <si>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</si>
  <si>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</si>
  <si>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</si>
  <si>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</si>
  <si>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</si>
  <si>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</si>
  <si>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</si>
  <si>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</si>
  <si>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</si>
  <si>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</si>
  <si>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</si>
  <si>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</si>
  <si>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</si>
  <si>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</si>
  <si>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</si>
  <si>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</si>
  <si>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</si>
  <si>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</si>
  <si>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</si>
  <si>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</si>
  <si>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</si>
  <si>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</si>
  <si>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</si>
  <si>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</si>
  <si>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</si>
  <si>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</si>
  <si>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</si>
  <si>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</si>
  <si>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</si>
  <si>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</si>
  <si>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</si>
  <si>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</si>
  <si>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</si>
  <si>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</si>
  <si>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</si>
  <si>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</si>
  <si>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</si>
  <si>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</si>
  <si>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</si>
  <si>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</si>
  <si>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</si>
  <si>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</si>
  <si>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</si>
  <si>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</si>
  <si>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</si>
  <si>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</si>
  <si>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</si>
  <si>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</si>
  <si>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</si>
  <si>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</si>
  <si>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</si>
  <si>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</si>
  <si>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</si>
  <si>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</si>
  <si>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</si>
  <si>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</si>
  <si>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</si>
  <si>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</si>
  <si>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</si>
  <si>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</si>
  <si>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</si>
  <si>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</si>
  <si>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</si>
  <si>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</si>
  <si>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</si>
  <si>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</si>
  <si>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</si>
  <si>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</si>
  <si>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</si>
  <si>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</si>
  <si>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</si>
  <si>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</si>
  <si>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</si>
  <si>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</si>
  <si>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</si>
  <si>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</si>
  <si>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</si>
  <si>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</si>
  <si>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</si>
  <si>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</si>
  <si>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</si>
  <si>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</si>
  <si>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</si>
  <si>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</si>
  <si>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</si>
  <si>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</si>
  <si>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</si>
  <si>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</si>
  <si>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</si>
  <si>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</si>
  <si>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</si>
  <si>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</si>
  <si>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</si>
  <si>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</si>
  <si>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</si>
  <si>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</si>
  <si>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</si>
  <si>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</si>
  <si>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</si>
  <si>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</si>
  <si>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</si>
  <si>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</si>
  <si>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</si>
  <si>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</si>
  <si>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</si>
  <si>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</si>
  <si>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</si>
  <si>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</si>
  <si>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</si>
  <si>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</si>
  <si>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</si>
  <si>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</si>
  <si>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</si>
  <si>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</si>
  <si>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</si>
  <si>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</si>
  <si>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</si>
  <si>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</si>
  <si>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</si>
  <si>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</si>
  <si>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</si>
  <si>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</si>
  <si>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</si>
  <si>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</si>
  <si>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</si>
  <si>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</si>
  <si>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</si>
  <si>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</si>
  <si>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</si>
  <si>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</si>
  <si>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</si>
  <si>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</si>
  <si>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</si>
  <si>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</si>
  <si>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</si>
  <si>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</si>
  <si>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</si>
  <si>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</si>
  <si>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</si>
  <si>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</si>
  <si>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</si>
  <si>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</si>
  <si>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</si>
  <si>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</si>
  <si>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</si>
  <si>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</si>
  <si>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</si>
  <si>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</si>
  <si>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</si>
  <si>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</si>
  <si>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</si>
  <si>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</si>
  <si>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</si>
  <si>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</si>
  <si>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</si>
  <si>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</si>
  <si>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</si>
  <si>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</si>
  <si>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</si>
  <si>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</si>
  <si>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</si>
  <si>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</si>
  <si>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</si>
  <si>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</si>
  <si>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</si>
  <si>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</si>
  <si>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</si>
  <si>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</si>
  <si>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</si>
  <si>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</si>
  <si>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</si>
  <si>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</si>
  <si>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</si>
  <si>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</si>
  <si>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</si>
  <si>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</si>
  <si>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</si>
  <si>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</si>
  <si>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</si>
  <si>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</si>
  <si>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</si>
  <si>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</si>
  <si>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</si>
  <si>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</si>
  <si>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</si>
  <si>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</si>
  <si>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</si>
  <si>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</si>
  <si>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</si>
  <si>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</si>
  <si>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</si>
  <si>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</si>
  <si>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</si>
  <si>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</si>
  <si>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</si>
  <si>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</si>
  <si>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</si>
  <si>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</si>
  <si>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</si>
  <si>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</si>
  <si>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</si>
  <si>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</si>
  <si>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</si>
  <si>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</si>
  <si>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</si>
  <si>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</si>
  <si>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</si>
  <si>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</si>
  <si>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</si>
  <si>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</si>
  <si>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</si>
  <si>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</si>
  <si>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</si>
  <si>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</si>
  <si>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</si>
  <si>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</si>
  <si>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</si>
  <si>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</si>
  <si>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</si>
  <si>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</si>
  <si>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</si>
  <si>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</si>
  <si>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</si>
  <si>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</si>
  <si>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</si>
  <si>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</si>
  <si>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</si>
  <si>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</si>
  <si>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</si>
  <si>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</si>
  <si>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</si>
  <si>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</si>
  <si>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</si>
  <si>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</si>
  <si>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</si>
  <si>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</si>
  <si>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</si>
  <si>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</si>
  <si>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</si>
  <si>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</si>
  <si>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</si>
  <si>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</si>
  <si>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</si>
  <si>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</si>
  <si>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</si>
  <si>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</si>
  <si>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</si>
  <si>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</si>
  <si>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</si>
  <si>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</si>
  <si>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</si>
  <si>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</si>
  <si>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</si>
  <si>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</si>
  <si>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</si>
  <si>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</si>
  <si>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</si>
  <si>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</si>
  <si>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</si>
  <si>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</si>
  <si>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</si>
  <si>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</si>
  <si>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</si>
  <si>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</si>
  <si>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</si>
  <si>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</si>
  <si>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</si>
  <si>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</si>
  <si>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</si>
  <si>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</si>
  <si>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</si>
  <si>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</si>
  <si>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</si>
  <si>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</si>
  <si>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</si>
  <si>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</si>
  <si>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</si>
  <si>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</si>
  <si>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</si>
  <si>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</si>
  <si>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</si>
  <si>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</si>
  <si>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</si>
  <si>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</si>
  <si>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</si>
  <si>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</si>
  <si>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</si>
  <si>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</si>
  <si>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</si>
  <si>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</si>
  <si>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</si>
  <si>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</si>
  <si>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</si>
  <si>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</si>
  <si>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</si>
  <si>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</si>
  <si>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</si>
  <si>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</si>
  <si>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</si>
  <si>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</si>
  <si>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</si>
  <si>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</si>
  <si>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</si>
  <si>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</si>
  <si>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</si>
  <si>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</si>
  <si>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</si>
  <si>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</si>
  <si>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</si>
  <si>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</si>
  <si>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</si>
  <si>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</si>
  <si>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</si>
  <si>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</si>
  <si>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</si>
  <si>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</si>
  <si>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</si>
  <si>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</si>
  <si>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</si>
  <si>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</si>
  <si>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</si>
  <si>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</si>
  <si>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</si>
  <si>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</si>
  <si>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</si>
  <si>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</si>
  <si>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</si>
  <si>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</si>
  <si>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</si>
  <si>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</si>
  <si>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</si>
  <si>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</si>
  <si>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</si>
  <si>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</si>
  <si>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</si>
  <si>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</si>
  <si>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</si>
  <si>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</si>
  <si>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</si>
  <si>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</si>
  <si>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</si>
  <si>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</si>
  <si>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</si>
  <si>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</si>
  <si>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</si>
  <si>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</si>
  <si>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</si>
  <si>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</si>
  <si>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</si>
  <si>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</si>
  <si>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</si>
  <si>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</si>
  <si>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</si>
  <si>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</si>
  <si>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</si>
  <si>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</si>
  <si>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</si>
  <si>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</si>
  <si>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</si>
  <si>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</si>
  <si>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</si>
  <si>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</si>
  <si>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</si>
  <si>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</si>
  <si>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</si>
  <si>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</si>
  <si>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</si>
  <si>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</si>
  <si>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</si>
  <si>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</si>
  <si>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</si>
  <si>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</si>
  <si>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</si>
  <si>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</si>
  <si>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</si>
  <si>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</si>
  <si>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</si>
  <si>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</si>
  <si>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</si>
  <si>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</si>
  <si>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</si>
  <si>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</si>
  <si>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</si>
  <si>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</si>
  <si>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</si>
  <si>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</si>
  <si>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</si>
  <si>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</si>
  <si>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</si>
  <si>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</si>
  <si>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</si>
  <si>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</si>
  <si>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</si>
  <si>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</si>
  <si>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</si>
  <si>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</si>
  <si>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</si>
  <si>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</si>
  <si>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</si>
  <si>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</si>
  <si>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</si>
  <si>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</si>
  <si>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</si>
  <si>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</si>
  <si>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</si>
  <si>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</si>
  <si>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</si>
  <si>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</si>
  <si>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</si>
  <si>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</si>
  <si>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</si>
  <si>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</si>
  <si>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</si>
  <si>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</si>
  <si>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</si>
  <si>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</si>
  <si>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</si>
  <si>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</si>
  <si>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</si>
  <si>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</si>
  <si>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</si>
  <si>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</si>
  <si>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</si>
  <si>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</si>
  <si>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</si>
  <si>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</si>
  <si>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</si>
  <si>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</si>
  <si>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</si>
  <si>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</si>
  <si>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</si>
  <si>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</si>
  <si>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</si>
  <si>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</si>
  <si>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</si>
  <si>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</si>
  <si>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</si>
  <si>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</si>
  <si>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</si>
  <si>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</si>
  <si>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</si>
  <si>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</si>
  <si>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</si>
  <si>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</si>
  <si>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</si>
  <si>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</si>
  <si>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</si>
  <si>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</si>
  <si>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</si>
  <si>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</si>
  <si>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</si>
  <si>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</si>
  <si>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</si>
  <si>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</si>
  <si>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</si>
  <si>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</si>
  <si>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</si>
  <si>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</si>
  <si>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</si>
  <si>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</si>
  <si>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</si>
  <si>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</si>
  <si>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</si>
  <si>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</si>
  <si>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</si>
  <si>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</si>
  <si>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</si>
  <si>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</si>
  <si>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</si>
  <si>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</si>
  <si>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</si>
  <si>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</si>
  <si>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</si>
  <si>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</si>
  <si>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</si>
  <si>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</si>
  <si>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</si>
  <si>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</si>
  <si>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</si>
  <si>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</si>
  <si>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</si>
  <si>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</si>
  <si>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</si>
  <si>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</si>
  <si>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</si>
  <si>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</si>
  <si>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</si>
  <si>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</si>
  <si>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</si>
  <si>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</si>
  <si>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</si>
  <si>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</si>
  <si>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</si>
  <si>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</si>
  <si>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</si>
  <si>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</si>
  <si>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</si>
  <si>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</si>
  <si>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</si>
  <si>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</si>
  <si>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</si>
  <si>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</si>
  <si>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</si>
  <si>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</si>
  <si>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</si>
  <si>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</si>
  <si>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</si>
  <si>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</si>
  <si>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</si>
  <si>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</si>
  <si>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</si>
  <si>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</si>
  <si>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</si>
  <si>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</si>
  <si>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</si>
  <si>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</si>
  <si>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</si>
  <si>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</si>
  <si>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</si>
  <si>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</si>
  <si>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</si>
  <si>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</si>
  <si>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</si>
  <si>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</si>
  <si>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</si>
  <si>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</si>
  <si>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</si>
  <si>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</si>
  <si>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</si>
  <si>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</si>
  <si>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</si>
  <si>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</si>
  <si>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</si>
  <si>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</si>
  <si>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</si>
  <si>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</si>
  <si>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</si>
  <si>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</si>
  <si>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</si>
  <si>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</si>
  <si>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</si>
  <si>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</si>
  <si>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</si>
  <si>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</si>
  <si>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</si>
  <si>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</si>
  <si>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</si>
  <si>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</si>
  <si>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</si>
  <si>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</si>
  <si>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</si>
  <si>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</si>
  <si>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</si>
  <si>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</si>
  <si>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</si>
  <si>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</si>
  <si>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</si>
  <si>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</si>
  <si>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</si>
  <si>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</si>
  <si>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</si>
  <si>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</si>
  <si>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</si>
  <si>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</si>
  <si>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</si>
  <si>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</si>
  <si>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</si>
  <si>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</si>
  <si>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</si>
  <si>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</si>
  <si>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</si>
  <si>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</si>
  <si>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</si>
  <si>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</si>
  <si>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</si>
  <si>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</si>
  <si>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</si>
  <si>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</si>
  <si>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</si>
  <si>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</si>
  <si>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</si>
  <si>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</si>
  <si>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</si>
  <si>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</si>
  <si>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</si>
  <si>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</si>
  <si>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</si>
  <si>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</si>
  <si>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</si>
  <si>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</si>
  <si>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</si>
  <si>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</si>
  <si>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</si>
  <si>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</si>
  <si>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</si>
  <si>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</si>
  <si>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</si>
  <si>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</si>
  <si>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</si>
  <si>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</si>
  <si>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</si>
  <si>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</si>
  <si>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</si>
  <si>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</si>
  <si>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</si>
  <si>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</si>
  <si>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</si>
  <si>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</si>
  <si>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</si>
  <si>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</si>
  <si>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</si>
  <si>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</si>
  <si>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</si>
  <si>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</si>
  <si>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</si>
  <si>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</si>
  <si>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</si>
  <si>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</si>
  <si>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</si>
  <si>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</si>
  <si>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</si>
  <si>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</si>
  <si>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</si>
  <si>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</si>
  <si>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</si>
  <si>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</si>
  <si>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</si>
  <si>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</si>
  <si>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</si>
  <si>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</si>
  <si>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</si>
  <si>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</si>
  <si>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</si>
  <si>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</si>
  <si>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</si>
  <si>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</si>
  <si>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</si>
  <si>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</si>
  <si>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</si>
  <si>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</si>
  <si>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</si>
  <si>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</si>
  <si>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</si>
  <si>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</si>
  <si>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</si>
  <si>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</si>
  <si>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</si>
  <si>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</si>
  <si>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</si>
  <si>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</si>
  <si>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</si>
  <si>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</si>
  <si>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</si>
  <si>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</si>
  <si>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</si>
  <si>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</si>
  <si>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</si>
  <si>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</si>
  <si>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</si>
  <si>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</si>
  <si>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</si>
  <si>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</si>
  <si>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</si>
  <si>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</si>
  <si>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</si>
  <si>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</si>
  <si>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</si>
  <si>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</si>
  <si>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</si>
  <si>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</si>
  <si>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</si>
  <si>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</si>
  <si>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</si>
  <si>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</si>
  <si>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</si>
  <si>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</si>
  <si>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</si>
  <si>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</si>
  <si>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</si>
  <si>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</si>
  <si>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</si>
  <si>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</si>
  <si>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</si>
  <si>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</si>
  <si>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</si>
  <si>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</si>
  <si>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</si>
  <si>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</si>
  <si>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</si>
  <si>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</si>
  <si>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</si>
  <si>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</si>
  <si>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</si>
  <si>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</si>
  <si>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</si>
  <si>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</si>
  <si>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</si>
  <si>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</si>
  <si>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</si>
  <si>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</si>
  <si>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</si>
  <si>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</si>
  <si>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</si>
  <si>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</si>
  <si>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</si>
  <si>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</si>
  <si>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</si>
  <si>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</si>
  <si>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</si>
  <si>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</si>
  <si>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</si>
  <si>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</si>
  <si>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</si>
  <si>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</si>
  <si>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</si>
  <si>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</si>
  <si>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</si>
  <si>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</si>
  <si>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</si>
  <si>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</si>
  <si>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</si>
  <si>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</si>
  <si>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</si>
  <si>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</si>
  <si>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</si>
  <si>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</si>
  <si>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</si>
  <si>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</si>
  <si>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</si>
  <si>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</si>
  <si>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</si>
  <si>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</si>
  <si>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</si>
  <si>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</si>
  <si>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</si>
  <si>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</si>
  <si>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</si>
  <si>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</si>
  <si>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</si>
  <si>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</si>
  <si>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</si>
  <si>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</si>
  <si>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</si>
  <si>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</si>
  <si>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</si>
  <si>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</si>
  <si>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</si>
  <si>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</si>
  <si>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</si>
  <si>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</si>
  <si>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</si>
  <si>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</si>
  <si>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</si>
  <si>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</si>
  <si>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</si>
  <si>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</si>
  <si>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</si>
  <si>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</si>
  <si>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</si>
  <si>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</si>
  <si>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</si>
  <si>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</si>
  <si>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</si>
  <si>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</si>
  <si>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</si>
  <si>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</si>
  <si>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</si>
  <si>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</si>
  <si>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</si>
  <si>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</si>
  <si>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</si>
  <si>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</si>
  <si>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</si>
  <si>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</si>
  <si>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</si>
  <si>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</si>
  <si>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</si>
  <si>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</si>
  <si>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</si>
  <si>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</si>
  <si>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</si>
  <si>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</si>
  <si>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</si>
  <si>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</si>
  <si>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</si>
  <si>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</si>
  <si>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</si>
  <si>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</si>
  <si>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</si>
  <si>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</si>
  <si>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</si>
  <si>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</si>
  <si>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</si>
  <si>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</si>
  <si>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</si>
  <si>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</si>
  <si>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</si>
  <si>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</si>
  <si>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</si>
  <si>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</si>
  <si>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</si>
  <si>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</si>
  <si>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</si>
  <si>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</si>
  <si>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</si>
  <si>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</si>
  <si>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</si>
  <si>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</si>
  <si>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</si>
  <si>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</si>
  <si>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</si>
  <si>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</si>
  <si>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</si>
  <si>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</si>
  <si>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</si>
  <si>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</si>
  <si>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</si>
  <si>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</si>
  <si>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</si>
  <si>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</si>
  <si>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</si>
  <si>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</si>
  <si>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</si>
  <si>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</si>
  <si>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</si>
  <si>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</si>
  <si>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</si>
  <si>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</si>
  <si>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</si>
  <si>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</si>
  <si>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</si>
  <si>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</si>
  <si>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</si>
  <si>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</si>
  <si>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</si>
  <si>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</si>
  <si>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</si>
  <si>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</si>
  <si>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</si>
  <si>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</si>
  <si>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</si>
  <si>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</si>
  <si>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</si>
  <si>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</si>
  <si>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</si>
  <si>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</si>
  <si>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</si>
  <si>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</si>
  <si>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</si>
  <si>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</si>
  <si>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</si>
  <si>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</si>
  <si>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</si>
  <si>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</si>
  <si>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</si>
  <si>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</si>
  <si>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</si>
  <si>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</si>
  <si>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</si>
  <si>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</si>
  <si>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</si>
  <si>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</si>
  <si>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</si>
  <si>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</si>
  <si>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</si>
  <si>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</si>
  <si>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</si>
  <si>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</si>
  <si>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</si>
  <si>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</si>
  <si>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</si>
  <si>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</si>
  <si>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</si>
  <si>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</si>
  <si>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</si>
  <si>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</si>
  <si>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</si>
  <si>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</si>
  <si>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</si>
  <si>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</si>
  <si>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</si>
  <si>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</si>
  <si>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</si>
  <si>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</si>
  <si>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</si>
  <si>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</si>
  <si>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</si>
  <si>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</si>
  <si>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</si>
  <si>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</si>
  <si>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</si>
  <si>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</si>
  <si>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</si>
  <si>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</si>
  <si>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</si>
  <si>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</si>
  <si>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</si>
  <si>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</si>
  <si>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</si>
  <si>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</si>
  <si>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</si>
  <si>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</si>
  <si>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</si>
  <si>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</si>
  <si>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</si>
  <si>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</si>
  <si>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</si>
  <si>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</si>
  <si>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</si>
  <si>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</si>
  <si>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</si>
  <si>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</si>
  <si>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</si>
  <si>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</si>
  <si>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</si>
  <si>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</si>
  <si>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</si>
  <si>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</si>
  <si>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</si>
  <si>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</si>
  <si>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</si>
  <si>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</si>
  <si>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</si>
  <si>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</si>
  <si>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</si>
  <si>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</si>
  <si>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</si>
  <si>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</si>
  <si>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</si>
  <si>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</si>
  <si>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</si>
  <si>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</si>
  <si>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</si>
  <si>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</si>
  <si>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</si>
  <si>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</si>
  <si>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</si>
  <si>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</si>
  <si>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</si>
  <si>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</si>
  <si>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</si>
  <si>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</si>
  <si>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</si>
  <si>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</si>
  <si>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</si>
  <si>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</si>
  <si>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</si>
  <si>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</si>
  <si>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</si>
  <si>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</si>
  <si>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</si>
  <si>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</si>
  <si>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</si>
  <si>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</si>
  <si>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</si>
  <si>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</si>
  <si>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</si>
  <si>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</si>
  <si>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</si>
  <si>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</si>
  <si>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</si>
  <si>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</si>
  <si>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</si>
  <si>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</si>
  <si>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</si>
  <si>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</si>
  <si>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</si>
  <si>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</si>
  <si>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</si>
  <si>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</si>
  <si>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</si>
  <si>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</si>
  <si>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</si>
  <si>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</si>
  <si>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</si>
  <si>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</si>
  <si>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</si>
  <si>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</si>
  <si>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</si>
  <si>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</si>
  <si>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</si>
  <si>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</si>
  <si>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</si>
  <si>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</si>
  <si>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</si>
  <si>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</si>
  <si>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</si>
  <si>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</si>
  <si>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</si>
  <si>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</si>
  <si>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</si>
  <si>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</si>
  <si>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</si>
  <si>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</si>
  <si>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</si>
  <si>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</si>
  <si>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</si>
  <si>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</si>
  <si>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</si>
  <si>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</si>
  <si>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</si>
  <si>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</si>
  <si>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</si>
  <si>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</si>
  <si>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</si>
  <si>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</si>
  <si>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</si>
  <si>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</si>
  <si>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</si>
  <si>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</si>
  <si>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</si>
  <si>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</si>
  <si>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</si>
  <si>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</si>
  <si>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</si>
  <si>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</si>
  <si>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</si>
  <si>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</si>
  <si>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</si>
  <si>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</si>
  <si>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</si>
  <si>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</si>
  <si>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</si>
  <si>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</si>
  <si>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</si>
  <si>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</si>
  <si>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</si>
  <si>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</si>
  <si>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</si>
  <si>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</si>
  <si>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</si>
  <si>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</si>
  <si>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</si>
  <si>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</si>
  <si>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</si>
  <si>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</si>
  <si>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</si>
  <si>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</si>
  <si>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</si>
  <si>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</si>
  <si>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</si>
  <si>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</si>
  <si>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</si>
  <si>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</si>
  <si>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</si>
  <si>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</si>
  <si>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</si>
  <si>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</si>
  <si>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</si>
  <si>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</si>
  <si>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</si>
  <si>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</si>
  <si>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</si>
  <si>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</si>
  <si>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</si>
  <si>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</si>
  <si>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</si>
  <si>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</si>
  <si>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</si>
  <si>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</si>
  <si>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</si>
  <si>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</si>
  <si>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</si>
  <si>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</si>
  <si>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</si>
  <si>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</si>
  <si>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</si>
  <si>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</si>
  <si>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</si>
  <si>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</si>
  <si>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</si>
  <si>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</si>
  <si>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</si>
  <si>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</si>
  <si>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</si>
  <si>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</si>
  <si>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</si>
  <si>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</si>
  <si>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</si>
  <si>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</si>
  <si>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</si>
  <si>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</si>
  <si>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</si>
  <si>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</si>
  <si>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</si>
  <si>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</si>
  <si>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</si>
  <si>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</si>
  <si>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</si>
  <si>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</si>
  <si>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</si>
  <si>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</si>
  <si>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</si>
  <si>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</si>
  <si>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</si>
  <si>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</si>
  <si>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</si>
  <si>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</si>
  <si>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</si>
  <si>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</si>
  <si>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</si>
  <si>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</si>
  <si>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</si>
  <si>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</si>
  <si>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</si>
  <si>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</si>
  <si>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</si>
  <si>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</si>
  <si>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</si>
  <si>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</si>
  <si>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</si>
  <si>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</si>
  <si>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</si>
  <si>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</si>
  <si>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</si>
  <si>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</si>
  <si>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</si>
  <si>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</si>
  <si>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</si>
  <si>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</si>
  <si>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</si>
  <si>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</si>
  <si>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</si>
  <si>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</si>
  <si>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</si>
  <si>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</si>
  <si>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</si>
  <si>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</si>
  <si>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</si>
  <si>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</si>
  <si>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</si>
  <si>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</si>
  <si>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</si>
  <si>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</si>
  <si>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</si>
  <si>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</si>
  <si>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</si>
  <si>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</si>
  <si>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</si>
  <si>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</si>
  <si>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</si>
  <si>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</si>
  <si>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</si>
  <si>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</si>
  <si>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</si>
  <si>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</si>
  <si>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</si>
  <si>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</si>
  <si>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</si>
  <si>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</si>
  <si>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</si>
  <si>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</si>
  <si>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</si>
  <si>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</si>
  <si>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</si>
  <si>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</si>
  <si>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</si>
  <si>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</si>
  <si>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</si>
  <si>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</si>
  <si>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</si>
  <si>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</si>
  <si>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</si>
  <si>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</si>
  <si>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</si>
  <si>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</si>
  <si>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</si>
  <si>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</si>
  <si>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</si>
  <si>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</si>
  <si>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</si>
  <si>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</si>
  <si>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</si>
  <si>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</si>
  <si>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</si>
  <si>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</si>
  <si>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</si>
  <si>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</si>
  <si>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</si>
  <si>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</si>
  <si>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</si>
  <si>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</si>
  <si>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</si>
  <si>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</si>
  <si>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</si>
  <si>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</si>
  <si>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</si>
  <si>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</si>
  <si>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</si>
  <si>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</si>
  <si>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</si>
  <si>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</si>
  <si>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</si>
  <si>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</si>
  <si>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</si>
  <si>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</si>
  <si>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</si>
  <si>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</si>
  <si>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</si>
  <si>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</si>
  <si>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</si>
  <si>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</si>
  <si>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</si>
  <si>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</si>
  <si>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</si>
  <si>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</si>
  <si>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</si>
  <si>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</si>
  <si>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</si>
  <si>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</si>
  <si>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</si>
  <si>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</si>
  <si>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</si>
  <si>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</si>
  <si>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</si>
  <si>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</si>
  <si>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</si>
  <si>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</si>
  <si>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</si>
  <si>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</si>
  <si>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</si>
  <si>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</si>
  <si>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</si>
  <si>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</si>
  <si>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</si>
  <si>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</si>
  <si>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</si>
  <si>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</si>
  <si>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</si>
  <si>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</si>
  <si>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</si>
  <si>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</si>
  <si>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</si>
  <si>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</si>
  <si>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</si>
  <si>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</si>
  <si>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</si>
  <si>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</si>
  <si>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</si>
  <si>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</si>
  <si>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</si>
  <si>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</si>
  <si>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</si>
  <si>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</si>
  <si>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</si>
  <si>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</si>
  <si>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</si>
  <si>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</si>
  <si>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</si>
  <si>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</si>
  <si>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</si>
  <si>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</si>
  <si>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</si>
  <si>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</si>
  <si>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</si>
  <si>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</si>
  <si>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</si>
  <si>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</si>
  <si>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</si>
  <si>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</si>
  <si>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</si>
  <si>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</si>
  <si>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</si>
  <si>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</si>
  <si>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</si>
  <si>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</si>
  <si>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</si>
  <si>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</si>
  <si>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</si>
  <si>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</si>
  <si>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</si>
  <si>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</si>
  <si>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</si>
  <si>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</si>
  <si>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</si>
  <si>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</si>
  <si>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</si>
  <si>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</si>
  <si>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</si>
  <si>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</si>
  <si>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</si>
  <si>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</si>
  <si>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</si>
  <si>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</si>
  <si>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</si>
  <si>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</si>
  <si>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</si>
  <si>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</si>
  <si>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</si>
  <si>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</si>
  <si>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</si>
  <si>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</si>
  <si>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</si>
  <si>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</si>
  <si>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</si>
  <si>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</si>
  <si>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</si>
  <si>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</si>
  <si>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</si>
  <si>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</si>
  <si>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</si>
  <si>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</si>
  <si>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</si>
  <si>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</si>
  <si>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</si>
  <si>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</si>
  <si>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</si>
  <si>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</si>
  <si>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</si>
  <si>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</si>
  <si>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</si>
  <si>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</si>
  <si>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</si>
  <si>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</si>
  <si>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</si>
  <si>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</si>
  <si>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</si>
  <si>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</si>
  <si>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</si>
  <si>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</si>
  <si>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</si>
  <si>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</si>
  <si>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</si>
  <si>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</si>
  <si>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</si>
  <si>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</si>
  <si>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</si>
  <si>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</si>
  <si>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</si>
  <si>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</si>
  <si>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</si>
  <si>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</si>
  <si>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</si>
  <si>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</si>
  <si>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</si>
  <si>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</si>
  <si>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</si>
  <si>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</si>
  <si>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</si>
  <si>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</si>
  <si>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</si>
  <si>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</si>
  <si>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</si>
  <si>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</si>
  <si>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</si>
  <si>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</si>
  <si>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</si>
  <si>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</si>
  <si>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</si>
  <si>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</si>
  <si>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</si>
  <si>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</si>
  <si>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</si>
  <si>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</si>
  <si>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</si>
  <si>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</si>
  <si>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</si>
  <si>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</si>
  <si>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</si>
  <si>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</si>
  <si>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</si>
  <si>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</si>
  <si>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</si>
  <si>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</si>
  <si>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</si>
  <si>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</si>
  <si>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</si>
  <si>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</si>
  <si>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</si>
  <si>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</si>
  <si>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</si>
  <si>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</si>
  <si>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</si>
  <si>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</si>
  <si>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</si>
  <si>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</si>
  <si>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</si>
  <si>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</si>
  <si>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</si>
  <si>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</si>
  <si>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</si>
  <si>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</si>
  <si>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</si>
  <si>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</si>
  <si>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</si>
  <si>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</si>
  <si>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</si>
  <si>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</si>
  <si>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</si>
  <si>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</si>
  <si>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</si>
  <si>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</si>
  <si>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</si>
  <si>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</si>
  <si>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</si>
  <si>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</si>
  <si>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</si>
  <si>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</si>
  <si>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</si>
  <si>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</si>
  <si>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</si>
  <si>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</si>
  <si>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</si>
  <si>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</si>
  <si>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</si>
  <si>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</si>
  <si>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</si>
  <si>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</si>
  <si>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</si>
  <si>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</si>
  <si>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</si>
  <si>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</si>
  <si>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</si>
  <si>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</si>
  <si>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</si>
  <si>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</si>
  <si>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</si>
  <si>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</si>
  <si>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</si>
  <si>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</si>
  <si>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</si>
  <si>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</si>
  <si>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</si>
  <si>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</si>
  <si>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</si>
  <si>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</si>
  <si>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</si>
  <si>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</si>
  <si>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</si>
  <si>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</si>
  <si>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</si>
  <si>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</si>
  <si>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</si>
  <si>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</si>
  <si>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</si>
  <si>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</si>
  <si>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</si>
  <si>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</si>
  <si>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</si>
  <si>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</si>
  <si>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</si>
  <si>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</si>
  <si>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</si>
  <si>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</si>
  <si>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</si>
  <si>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</si>
  <si>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</si>
  <si>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</si>
  <si>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</si>
  <si>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</si>
  <si>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</si>
  <si>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</si>
  <si>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</si>
  <si>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</si>
  <si>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</si>
  <si>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</si>
  <si>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</si>
  <si>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</si>
  <si>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</si>
  <si>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</si>
  <si>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</si>
  <si>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</si>
  <si>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</si>
  <si>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</si>
  <si>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</si>
  <si>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</si>
  <si>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</si>
  <si>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</si>
  <si>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</si>
  <si>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</si>
  <si>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</si>
  <si>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</si>
  <si>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</si>
  <si>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</si>
  <si>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</si>
  <si>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</si>
  <si>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</si>
  <si>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</si>
  <si>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</si>
  <si>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</si>
  <si>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</si>
  <si>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</si>
  <si>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</si>
  <si>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</si>
  <si>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</si>
  <si>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</si>
  <si>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</si>
  <si>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</si>
  <si>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</si>
  <si>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</si>
  <si>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</si>
  <si>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</si>
  <si>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</si>
  <si>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</si>
  <si>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</si>
  <si>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</si>
  <si>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</si>
  <si>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</si>
  <si>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</si>
  <si>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</si>
  <si>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</si>
  <si>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</si>
  <si>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</si>
  <si>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</si>
  <si>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</si>
  <si>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</si>
  <si>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</si>
  <si>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</si>
  <si>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</si>
  <si>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</si>
  <si>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</si>
  <si>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</si>
  <si>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</si>
  <si>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</si>
  <si>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</si>
  <si>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</si>
  <si>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</si>
  <si>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</si>
  <si>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</si>
  <si>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</si>
  <si>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</si>
  <si>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</si>
  <si>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</si>
  <si>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</si>
  <si>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</si>
  <si>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</si>
  <si>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</si>
  <si>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</si>
  <si>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</si>
  <si>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</si>
  <si>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</si>
  <si>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</si>
  <si>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</si>
  <si>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</si>
  <si>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</si>
  <si>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</si>
  <si>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</si>
  <si>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</si>
  <si>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</si>
  <si>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</si>
  <si>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</si>
  <si>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</si>
  <si>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</si>
  <si>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</si>
  <si>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</si>
  <si>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</si>
  <si>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</si>
  <si>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</si>
  <si>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</si>
  <si>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</si>
  <si>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</si>
  <si>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</si>
  <si>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</si>
  <si>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</si>
  <si>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</si>
  <si>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</si>
  <si>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</si>
  <si>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</si>
  <si>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</si>
  <si>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</si>
  <si>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</si>
  <si>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</si>
  <si>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</si>
  <si>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</si>
  <si>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</si>
  <si>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</si>
  <si>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</si>
  <si>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</si>
  <si>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</si>
  <si>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</si>
  <si>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</si>
  <si>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</si>
  <si>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</si>
  <si>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</si>
  <si>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</si>
  <si>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</si>
  <si>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</si>
  <si>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</si>
  <si>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</si>
  <si>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</si>
  <si>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</si>
  <si>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</si>
  <si>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</si>
  <si>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</si>
  <si>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</si>
  <si>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</si>
  <si>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</si>
  <si>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</si>
  <si>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</si>
  <si>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</si>
  <si>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</si>
  <si>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</si>
  <si>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</si>
  <si>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</si>
  <si>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</si>
  <si>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</si>
  <si>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</si>
  <si>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</si>
  <si>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</si>
  <si>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</si>
  <si>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</si>
  <si>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</si>
  <si>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</si>
  <si>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</si>
  <si>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</si>
  <si>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</si>
  <si>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</si>
  <si>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</si>
  <si>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</si>
  <si>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</si>
  <si>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</si>
  <si>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</si>
  <si>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</si>
  <si>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</si>
  <si>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</si>
  <si>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</si>
  <si>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</si>
  <si>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</si>
  <si>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</si>
  <si>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</si>
  <si>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</si>
  <si>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</si>
  <si>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</si>
  <si>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</si>
  <si>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</si>
  <si>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</si>
  <si>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</si>
  <si>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</si>
  <si>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</si>
  <si>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</si>
  <si>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</si>
  <si>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</si>
  <si>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</si>
  <si>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</si>
  <si>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</si>
  <si>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</si>
  <si>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</si>
  <si>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</si>
  <si>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</si>
  <si>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</si>
  <si>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</si>
  <si>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</si>
  <si>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</si>
  <si>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</si>
  <si>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</si>
  <si>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</si>
  <si>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</si>
  <si>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</si>
  <si>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</si>
  <si>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</si>
  <si>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</si>
  <si>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</si>
  <si>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</si>
  <si>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</si>
  <si>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</si>
  <si>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</si>
  <si>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</si>
  <si>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</si>
  <si>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</si>
  <si>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</si>
  <si>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</si>
  <si>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</si>
  <si>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</si>
  <si>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</si>
  <si>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</si>
  <si>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</si>
  <si>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</si>
  <si>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</si>
  <si>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</si>
  <si>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</si>
  <si>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</si>
  <si>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</si>
  <si>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</si>
  <si>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</si>
  <si>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</si>
  <si>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</si>
  <si>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</si>
  <si>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</si>
  <si>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</si>
  <si>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</si>
  <si>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</si>
  <si>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</si>
  <si>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</si>
  <si>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</si>
  <si>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</si>
  <si>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</si>
  <si>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</si>
  <si>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</si>
  <si>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</si>
  <si>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</si>
  <si>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</si>
  <si>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</si>
  <si>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</si>
  <si>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</si>
  <si>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</si>
  <si>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</si>
  <si>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</si>
  <si>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</si>
  <si>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</si>
  <si>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</si>
  <si>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</si>
  <si>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</si>
  <si>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</si>
  <si>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</si>
  <si>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</si>
  <si>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</si>
  <si>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</si>
  <si>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</si>
  <si>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</si>
  <si>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</si>
  <si>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</si>
  <si>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</si>
  <si>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</si>
  <si>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</si>
  <si>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</si>
  <si>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</si>
  <si>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</si>
  <si>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</si>
  <si>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</si>
  <si>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</si>
  <si>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</si>
  <si>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</si>
  <si>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</si>
  <si>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</si>
  <si>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</si>
  <si>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</si>
  <si>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</si>
  <si>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</si>
  <si>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</si>
  <si>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</si>
  <si>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</si>
  <si>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</si>
  <si>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</si>
  <si>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</si>
  <si>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</si>
  <si>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</si>
  <si>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</si>
  <si>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</si>
  <si>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</si>
  <si>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</si>
  <si>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</si>
  <si>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</si>
  <si>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</si>
  <si>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</si>
  <si>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</si>
  <si>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</si>
  <si>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</si>
  <si>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</si>
  <si>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</si>
  <si>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</si>
  <si>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</si>
  <si>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</si>
  <si>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</si>
  <si>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</si>
  <si>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</si>
  <si>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</si>
  <si>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</si>
  <si>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</si>
  <si>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</si>
  <si>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</si>
  <si>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</si>
  <si>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</si>
  <si>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</si>
  <si>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</si>
  <si>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</si>
  <si>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</si>
  <si>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</si>
  <si>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</si>
  <si>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</si>
  <si>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</si>
  <si>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</si>
  <si>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</si>
  <si>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</si>
  <si>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</si>
  <si>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</si>
  <si>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</si>
  <si>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</si>
  <si>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</si>
  <si>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</si>
  <si>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</si>
  <si>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</si>
  <si>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</si>
  <si>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</si>
  <si>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</si>
  <si>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</si>
  <si>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</si>
  <si>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</si>
  <si>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</si>
  <si>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</si>
  <si>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</si>
  <si>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</si>
  <si>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</si>
  <si>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</si>
  <si>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</si>
  <si>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</si>
  <si>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</si>
  <si>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</si>
  <si>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</si>
  <si>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</si>
  <si>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</si>
  <si>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</si>
  <si>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</si>
  <si>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</si>
  <si>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</si>
  <si>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</si>
  <si>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</si>
  <si>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</si>
  <si>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</si>
  <si>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</si>
  <si>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</si>
  <si>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</si>
  <si>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</si>
  <si>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</si>
  <si>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</si>
  <si>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</si>
  <si>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</si>
  <si>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</si>
  <si>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</si>
  <si>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</si>
  <si>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</si>
  <si>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</si>
  <si>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</si>
  <si>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</si>
  <si>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</si>
  <si>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</si>
  <si>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</si>
  <si>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</si>
  <si>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</si>
  <si>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</si>
  <si>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</si>
  <si>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</si>
  <si>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</si>
  <si>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</si>
  <si>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</si>
  <si>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</si>
  <si>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</si>
  <si>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</si>
  <si>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</si>
  <si>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</si>
  <si>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</si>
  <si>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</si>
  <si>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</si>
  <si>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</si>
  <si>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</si>
  <si>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</si>
  <si>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</si>
  <si>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</si>
  <si>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</si>
  <si>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</si>
  <si>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</si>
  <si>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</si>
  <si>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</si>
  <si>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</si>
  <si>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</si>
  <si>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</si>
  <si>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</si>
  <si>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</si>
  <si>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</si>
  <si>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</si>
  <si>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</si>
  <si>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</si>
  <si>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</si>
  <si>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</si>
  <si>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</si>
  <si>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</si>
  <si>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</si>
  <si>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</si>
  <si>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</si>
  <si>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</si>
  <si>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</si>
  <si>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</si>
  <si>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</si>
  <si>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</si>
  <si>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</si>
  <si>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</si>
  <si>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</si>
  <si>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</si>
  <si>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</si>
  <si>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</si>
  <si>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</si>
  <si>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</si>
  <si>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</si>
  <si>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</si>
  <si>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</si>
  <si>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</si>
  <si>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</si>
  <si>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</si>
  <si>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</si>
  <si>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</si>
  <si>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</si>
  <si>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</si>
  <si>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</si>
  <si>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</si>
  <si>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</si>
  <si>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</si>
  <si>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</si>
  <si>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</si>
  <si>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</si>
  <si>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</si>
  <si>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</si>
  <si>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</si>
  <si>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</si>
  <si>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</si>
  <si>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</si>
  <si>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</si>
  <si>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</si>
  <si>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</si>
  <si>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</si>
  <si>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</si>
  <si>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</si>
  <si>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</si>
  <si>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</si>
  <si>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</si>
  <si>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</si>
  <si>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</si>
  <si>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</si>
  <si>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</si>
  <si>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</si>
  <si>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</si>
  <si>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</si>
  <si>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</si>
  <si>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</si>
  <si>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</si>
  <si>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</si>
  <si>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</si>
  <si>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</si>
  <si>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</si>
  <si>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</si>
  <si>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</si>
  <si>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</si>
  <si>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</si>
  <si>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</si>
  <si>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</si>
  <si>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</si>
  <si>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</si>
  <si>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</si>
  <si>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</si>
  <si>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</si>
  <si>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</si>
  <si>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</si>
  <si>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</si>
  <si>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</si>
  <si>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</si>
  <si>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</si>
  <si>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</si>
  <si>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</si>
  <si>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</si>
  <si>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</si>
  <si>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</si>
  <si>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</si>
  <si>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</si>
  <si>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</si>
  <si>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</si>
  <si>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</si>
  <si>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</si>
  <si>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</si>
  <si>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</si>
  <si>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</si>
  <si>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</si>
  <si>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</si>
  <si>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</si>
  <si>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</si>
  <si>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</si>
  <si>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</si>
  <si>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</si>
  <si>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</si>
  <si>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</si>
  <si>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</si>
  <si>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</si>
  <si>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</si>
  <si>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</si>
  <si>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</si>
  <si>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</si>
  <si>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</si>
  <si>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</si>
  <si>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</si>
  <si>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</si>
  <si>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</si>
  <si>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</si>
  <si>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</si>
  <si>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</si>
  <si>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</si>
  <si>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</si>
  <si>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</si>
  <si>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</si>
  <si>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</si>
  <si>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</si>
  <si>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</si>
  <si>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</si>
  <si>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</si>
  <si>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</si>
  <si>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</si>
  <si>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</si>
  <si>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</si>
  <si>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</si>
  <si>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</si>
  <si>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</si>
  <si>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</si>
  <si>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</si>
  <si>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</si>
  <si>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</si>
  <si>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</si>
  <si>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</si>
  <si>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</si>
  <si>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</si>
  <si>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</si>
  <si>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</si>
  <si>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</si>
  <si>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</si>
  <si>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</si>
  <si>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</si>
  <si>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</si>
  <si>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</si>
  <si>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</si>
  <si>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</si>
  <si>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</si>
  <si>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</si>
  <si>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</si>
  <si>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</si>
  <si>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</si>
  <si>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</si>
  <si>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</si>
  <si>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</si>
  <si>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</si>
  <si>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</si>
  <si>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</si>
  <si>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</si>
  <si>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</si>
  <si>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</si>
  <si>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</si>
  <si>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</si>
  <si>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</si>
  <si>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</si>
  <si>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</si>
  <si>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</si>
  <si>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</si>
  <si>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</si>
  <si>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</si>
  <si>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</si>
  <si>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</si>
  <si>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</si>
  <si>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</si>
  <si>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</si>
  <si>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</si>
  <si>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</si>
  <si>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</si>
  <si>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</si>
  <si>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</si>
  <si>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</si>
  <si>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</si>
  <si>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</si>
  <si>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</si>
  <si>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</si>
  <si>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</si>
  <si>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</si>
  <si>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</si>
  <si>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</si>
  <si>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</si>
  <si>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</si>
  <si>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</si>
  <si>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</si>
  <si>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</si>
  <si>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</si>
  <si>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</si>
  <si>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</si>
  <si>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</si>
  <si>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</si>
  <si>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</si>
  <si>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</si>
  <si>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</si>
  <si>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</si>
  <si>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</si>
  <si>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</si>
  <si>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</si>
  <si>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</si>
  <si>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</si>
  <si>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</si>
  <si>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</si>
  <si>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</si>
  <si>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</si>
  <si>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</si>
  <si>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</si>
  <si>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</si>
  <si>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</si>
  <si>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</si>
  <si>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</si>
  <si>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</si>
  <si>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</si>
  <si>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</si>
  <si>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</si>
  <si>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</si>
  <si>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</si>
  <si>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</si>
  <si>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</si>
  <si>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</si>
  <si>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</si>
  <si>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</si>
  <si>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</si>
  <si>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</si>
  <si>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</si>
  <si>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</si>
  <si>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</si>
  <si>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</si>
  <si>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</si>
  <si>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</si>
  <si>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</si>
  <si>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</si>
  <si>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</si>
  <si>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</si>
  <si>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</si>
  <si>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</si>
  <si>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</si>
  <si>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</si>
  <si>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</si>
  <si>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</si>
  <si>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</si>
  <si>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</si>
  <si>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</si>
  <si>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</si>
  <si>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</si>
  <si>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</si>
  <si>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</si>
  <si>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</si>
  <si>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</si>
  <si>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</si>
  <si>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</si>
  <si>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</si>
  <si>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</si>
  <si>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</si>
  <si>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</si>
  <si>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</si>
  <si>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</si>
  <si>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</si>
  <si>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</si>
  <si>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</si>
  <si>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</si>
  <si>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</si>
  <si>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</si>
  <si>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</si>
  <si>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</si>
  <si>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</si>
  <si>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</si>
  <si>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</si>
  <si>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</si>
  <si>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</si>
  <si>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</si>
  <si>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</si>
  <si>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</si>
  <si>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</si>
  <si>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</si>
  <si>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</si>
  <si>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</si>
  <si>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</si>
  <si>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</si>
  <si>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</si>
  <si>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</si>
  <si>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</si>
  <si>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</si>
  <si>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</si>
  <si>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</si>
  <si>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</si>
  <si>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</si>
  <si>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</si>
  <si>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</si>
  <si>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</si>
  <si>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</si>
  <si>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</si>
  <si>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</si>
  <si>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</si>
  <si>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</si>
  <si>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</si>
  <si>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</si>
  <si>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</si>
  <si>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</si>
  <si>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</si>
  <si>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</si>
  <si>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</si>
  <si>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</si>
  <si>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</si>
  <si>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</si>
  <si>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</si>
  <si>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</si>
  <si>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</si>
  <si>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</si>
  <si>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</si>
  <si>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</si>
  <si>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</si>
  <si>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</si>
  <si>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</si>
  <si>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</si>
  <si>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</si>
  <si>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</si>
  <si>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</si>
  <si>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</si>
  <si>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</si>
  <si>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</si>
  <si>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</si>
  <si>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</si>
  <si>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</si>
  <si>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</si>
  <si>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</si>
  <si>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</si>
  <si>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</si>
  <si>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</si>
  <si>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</si>
  <si>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</si>
  <si>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</si>
  <si>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</si>
  <si>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</si>
  <si>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</si>
  <si>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</si>
  <si>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</si>
  <si>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</si>
  <si>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</si>
  <si>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</si>
  <si>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</si>
  <si>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</si>
  <si>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</si>
  <si>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</si>
  <si>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</si>
  <si>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</si>
  <si>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</si>
  <si>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</si>
  <si>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</si>
  <si>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</si>
  <si>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</si>
  <si>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</si>
  <si>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</si>
  <si>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</si>
  <si>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</si>
  <si>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</si>
  <si>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</si>
  <si>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</si>
  <si>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</si>
  <si>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</si>
  <si>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</si>
  <si>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</si>
  <si>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</si>
  <si>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</si>
  <si>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</si>
  <si>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</si>
  <si>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</si>
  <si>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</si>
  <si>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</si>
  <si>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</si>
  <si>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</si>
  <si>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</si>
  <si>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</si>
  <si>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</si>
  <si>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</si>
  <si>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</si>
  <si>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</si>
  <si>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</si>
  <si>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</si>
  <si>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</si>
  <si>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</si>
  <si>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</si>
  <si>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</si>
  <si>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</si>
  <si>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</si>
  <si>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</si>
  <si>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</si>
  <si>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</si>
  <si>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</si>
  <si>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</si>
  <si>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</si>
  <si>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</si>
  <si>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</si>
  <si>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</si>
  <si>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</si>
  <si>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</si>
  <si>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</si>
  <si>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</si>
  <si>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</si>
  <si>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</si>
  <si>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</si>
  <si>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</si>
  <si>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</si>
  <si>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</si>
  <si>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</si>
  <si>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</si>
  <si>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</si>
  <si>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</si>
  <si>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</si>
  <si>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</si>
  <si>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</si>
  <si>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</si>
  <si>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</si>
  <si>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</si>
  <si>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</si>
  <si>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</si>
  <si>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</si>
  <si>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</si>
  <si>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</si>
  <si>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</si>
  <si>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</si>
  <si>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</si>
  <si>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</si>
  <si>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</si>
  <si>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</si>
  <si>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</si>
  <si>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</si>
  <si>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</si>
  <si>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</si>
  <si>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</si>
  <si>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</si>
  <si>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</si>
  <si>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</si>
  <si>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</si>
  <si>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</si>
  <si>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</si>
  <si>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</si>
  <si>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</si>
  <si>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</si>
  <si>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</si>
  <si>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</si>
  <si>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</si>
  <si>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</si>
  <si>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</si>
  <si>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</si>
  <si>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</si>
  <si>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</si>
  <si>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</si>
  <si>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</si>
  <si>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</si>
  <si>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</si>
  <si>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</si>
  <si>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</si>
  <si>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</si>
  <si>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</si>
  <si>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</si>
  <si>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</si>
  <si>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</si>
  <si>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</si>
  <si>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</si>
  <si>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</si>
  <si>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</si>
  <si>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</si>
  <si>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</si>
  <si>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</si>
  <si>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</si>
  <si>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</si>
  <si>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</si>
  <si>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</si>
  <si>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</si>
  <si>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</si>
  <si>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</si>
  <si>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</si>
  <si>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</si>
  <si>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</si>
  <si>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</si>
  <si>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</si>
  <si>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</si>
  <si>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</si>
  <si>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</si>
  <si>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</si>
  <si>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</si>
  <si>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</si>
  <si>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</si>
  <si>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</si>
  <si>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</si>
  <si>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</si>
  <si>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</si>
  <si>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</si>
  <si>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</si>
  <si>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</si>
  <si>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</si>
  <si>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</si>
  <si>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</si>
  <si>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</si>
  <si>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</si>
  <si>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</si>
  <si>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</si>
  <si>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</si>
  <si>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</si>
  <si>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</si>
  <si>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</si>
  <si>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</si>
  <si>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</si>
  <si>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</si>
  <si>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</si>
  <si>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</si>
  <si>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</si>
  <si>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</si>
  <si>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</si>
  <si>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</si>
  <si>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</si>
  <si>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</si>
  <si>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</si>
  <si>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</si>
  <si>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</si>
  <si>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</si>
  <si>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</si>
  <si>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</si>
  <si>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</si>
  <si>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</si>
  <si>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</si>
  <si>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</si>
  <si>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</si>
  <si>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</si>
  <si>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</si>
  <si>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</si>
  <si>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</si>
  <si>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</si>
  <si>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</si>
  <si>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</si>
  <si>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</si>
  <si>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</si>
  <si>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</si>
  <si>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</si>
  <si>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</si>
  <si>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</si>
  <si>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</si>
  <si>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</si>
  <si>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</si>
  <si>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</si>
  <si>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</si>
  <si>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</si>
  <si>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</si>
  <si>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</si>
  <si>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</si>
  <si>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</si>
  <si>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</si>
  <si>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</si>
  <si>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</si>
  <si>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</si>
  <si>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</si>
  <si>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</si>
  <si>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</si>
  <si>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</si>
  <si>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</si>
  <si>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</si>
  <si>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</si>
  <si>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</si>
  <si>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</si>
  <si>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</si>
  <si>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</si>
  <si>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</si>
  <si>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</si>
  <si>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</si>
  <si>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</si>
  <si>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</si>
  <si>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</si>
  <si>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</si>
  <si>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</si>
  <si>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</si>
  <si>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</si>
  <si>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</si>
  <si>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</si>
  <si>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</si>
  <si>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</si>
  <si>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</si>
  <si>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</si>
  <si>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</si>
  <si>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</si>
  <si>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</si>
  <si>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</si>
  <si>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</si>
  <si>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</si>
  <si>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SRS #mufu++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</si>
  <si>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</si>
  <si>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</si>
  <si>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</si>
  <si>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</si>
  <si>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</si>
  <si>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</si>
  <si>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</si>
  <si>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</si>
  <si>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</si>
  <si>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</si>
  <si>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</si>
  <si>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</si>
  <si>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</si>
  <si>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</si>
  <si>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</si>
  <si>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after$300{MB</t>
  </si>
  <si>
    <t>FnF{Ystar</t>
  </si>
  <si>
    <t>SgBankAcct incl.AUM92k+4k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</si>
</sst>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166" fontId="0" fillId="24" borderId="7" xfId="0" applyNumberFormat="1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2677</v>
      </c>
      <c r="F2" s="435"/>
      <c r="G2" s="401" t="s">
        <v>2678</v>
      </c>
      <c r="H2" s="401" t="s">
        <v>2677</v>
      </c>
      <c r="J2" s="435"/>
      <c r="K2" s="401" t="s">
        <v>2678</v>
      </c>
      <c r="L2" s="401" t="s">
        <v>2677</v>
      </c>
      <c r="N2" s="435"/>
      <c r="O2" s="401" t="s">
        <v>2678</v>
      </c>
      <c r="P2" s="401" t="s">
        <v>2677</v>
      </c>
      <c r="R2" s="435" t="s">
        <v>423</v>
      </c>
      <c r="S2" s="602" t="s">
        <v>2678</v>
      </c>
      <c r="T2" s="602" t="s">
        <v>2677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2754</v>
      </c>
      <c r="D35" s="316">
        <f>SUM(D3:D33)*88</f>
        <v>1895.7128767123286</v>
      </c>
      <c r="F35" s="435" t="s">
        <v>2754</v>
      </c>
      <c r="H35" s="316">
        <f>SUM(H3:H33)*88</f>
        <v>2121.0410958904108</v>
      </c>
      <c r="J35" s="435" t="s">
        <v>2754</v>
      </c>
      <c r="L35" s="316">
        <f>SUM(L3:L33)*88</f>
        <v>2597.8082191780818</v>
      </c>
      <c r="N35" s="435" t="s">
        <v>2754</v>
      </c>
      <c r="P35" s="316">
        <f>SUM(P3:P33)*88</f>
        <v>2650.7287671232875</v>
      </c>
      <c r="R35" s="435" t="s">
        <v>2754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3012</v>
      </c>
      <c r="C36" s="428"/>
      <c r="D36" s="316">
        <f>'HIS19'!KQ21</f>
        <v>1895.66</v>
      </c>
      <c r="E36" s="428"/>
      <c r="F36" s="435" t="s">
        <v>3012</v>
      </c>
      <c r="G36" s="428"/>
      <c r="H36" s="316">
        <f>'HIS19'!KQ22</f>
        <v>2121.2199999999998</v>
      </c>
      <c r="I36" s="428"/>
      <c r="J36" s="435" t="s">
        <v>3012</v>
      </c>
      <c r="K36" s="428"/>
      <c r="L36" s="316">
        <f>'HIS19'!KQ23</f>
        <v>2597.87</v>
      </c>
      <c r="M36" s="428"/>
      <c r="N36" s="435" t="s">
        <v>3012</v>
      </c>
      <c r="O36" s="428"/>
      <c r="P36" s="316">
        <f>'HIS19'!KQ24</f>
        <v>2650.71</v>
      </c>
      <c r="R36" s="435" t="s">
        <v>3012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3031</v>
      </c>
      <c r="C37"/>
      <c r="D37" s="316">
        <f>D36-D35</f>
        <v>-5.2876712328497888E-2</v>
      </c>
      <c r="E37"/>
      <c r="F37" s="435" t="s">
        <v>3031</v>
      </c>
      <c r="G37" s="401"/>
      <c r="H37" s="316">
        <f>H36-H35</f>
        <v>0.17890410958898428</v>
      </c>
      <c r="I37" s="401"/>
      <c r="J37" s="435" t="s">
        <v>3031</v>
      </c>
      <c r="K37" s="401"/>
      <c r="L37" s="316">
        <f>L36-L35</f>
        <v>6.1780821918091533E-2</v>
      </c>
      <c r="M37" s="401"/>
      <c r="N37" s="435" t="s">
        <v>3031</v>
      </c>
      <c r="O37" s="401"/>
      <c r="P37" s="316">
        <f>P36-P35</f>
        <v>-1.8767123287489085E-2</v>
      </c>
      <c r="R37" s="435" t="s">
        <v>3031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2640</v>
      </c>
      <c r="C2" s="396"/>
      <c r="D2" s="415" t="s">
        <v>2814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2727</v>
      </c>
      <c r="I4" s="218" t="s">
        <v>2922</v>
      </c>
      <c r="J4" s="218" t="s">
        <v>2728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2730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2729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2562</v>
      </c>
      <c r="I29" s="340" t="s">
        <v>2563</v>
      </c>
      <c r="J29" s="340" t="s">
        <v>2641</v>
      </c>
      <c r="K29" s="340" t="s">
        <v>2564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3112</v>
      </c>
      <c r="I32" s="628" t="s">
        <v>3112</v>
      </c>
      <c r="J32" s="628" t="s">
        <v>3112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2654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2">
        <f>SUMPRODUCT(D3:D33,E3:E33)/365</f>
        <v>34.006575342465737</v>
      </c>
      <c r="E35" s="792"/>
      <c r="F35" s="400"/>
    </row>
    <row r="36" spans="2:11">
      <c r="B36" s="396" t="s">
        <v>2659</v>
      </c>
      <c r="D36" s="792" t="s">
        <v>2649</v>
      </c>
      <c r="E36" s="79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3132</v>
      </c>
      <c r="C2" s="387" t="s">
        <v>311</v>
      </c>
      <c r="D2" s="388" t="s">
        <v>2587</v>
      </c>
      <c r="E2" s="389" t="s">
        <v>2585</v>
      </c>
      <c r="F2" s="389" t="s">
        <v>2609</v>
      </c>
      <c r="G2" s="389" t="s">
        <v>2586</v>
      </c>
      <c r="H2" s="387" t="s">
        <v>460</v>
      </c>
      <c r="I2" s="386" t="s">
        <v>2584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2608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2608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2608</v>
      </c>
      <c r="G6" s="226">
        <f>SUM(B6:E6)</f>
        <v>112225.48</v>
      </c>
      <c r="H6" s="81">
        <v>44195</v>
      </c>
      <c r="I6" s="63" t="s">
        <v>2588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2608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2589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2608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2608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2608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2608</v>
      </c>
      <c r="G12" s="226">
        <f t="shared" si="1"/>
        <v>109175.48</v>
      </c>
      <c r="H12" s="81">
        <v>44701</v>
      </c>
      <c r="I12" s="63" t="s">
        <v>3144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2608</v>
      </c>
      <c r="G13" s="226">
        <f t="shared" si="1"/>
        <v>110985.48</v>
      </c>
      <c r="H13" s="81">
        <v>44727</v>
      </c>
      <c r="I13" s="63" t="s">
        <v>3145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2608</v>
      </c>
      <c r="G14" s="226">
        <f t="shared" si="1"/>
        <v>106859.48</v>
      </c>
      <c r="H14" s="81">
        <v>44788</v>
      </c>
      <c r="I14" s="63" t="s">
        <v>3146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2608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2608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2608</v>
      </c>
      <c r="G17" s="226">
        <f t="shared" si="2"/>
        <v>99359.48</v>
      </c>
      <c r="H17" s="81">
        <v>44910</v>
      </c>
      <c r="I17" s="63" t="s">
        <v>3146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2608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2608</v>
      </c>
      <c r="G19" s="226">
        <f t="shared" si="2"/>
        <v>101108.48</v>
      </c>
      <c r="H19" s="81">
        <v>45092</v>
      </c>
      <c r="I19" s="63" t="s">
        <v>2775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2608</v>
      </c>
      <c r="G20" s="226">
        <f t="shared" si="2"/>
        <v>105108.48</v>
      </c>
      <c r="H20" s="81">
        <v>45127</v>
      </c>
      <c r="I20" s="63" t="s">
        <v>2779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2608</v>
      </c>
      <c r="G21" s="226">
        <f t="shared" ref="G21:G22" si="3">SUM(B21:E21)</f>
        <v>107108.48</v>
      </c>
      <c r="H21" s="81">
        <v>45168</v>
      </c>
      <c r="I21" s="63" t="s">
        <v>3141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2608</v>
      </c>
      <c r="G22" s="226">
        <f t="shared" si="3"/>
        <v>105108.48</v>
      </c>
      <c r="H22" s="81">
        <v>45285</v>
      </c>
      <c r="I22" s="63" t="s">
        <v>3143</v>
      </c>
    </row>
    <row r="23" spans="2:9">
      <c r="B23" s="226"/>
      <c r="C23" s="63" t="s">
        <v>3142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2608</v>
      </c>
      <c r="G24" s="226">
        <f t="shared" ref="G24:G25" si="4">SUM(B24:E24)</f>
        <v>113108.48</v>
      </c>
      <c r="H24" s="81">
        <v>45323</v>
      </c>
      <c r="I24" s="63" t="s">
        <v>3256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2608</v>
      </c>
      <c r="G25" s="226">
        <f t="shared" si="4"/>
        <v>107108.48</v>
      </c>
      <c r="H25" s="81">
        <v>45327</v>
      </c>
      <c r="I25" s="63" t="s">
        <v>3257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39" t="s">
        <v>124</v>
      </c>
      <c r="C1" s="739"/>
      <c r="D1" s="742" t="s">
        <v>292</v>
      </c>
      <c r="E1" s="742"/>
      <c r="F1" s="742" t="s">
        <v>341</v>
      </c>
      <c r="G1" s="742"/>
      <c r="H1" s="740" t="s">
        <v>127</v>
      </c>
      <c r="I1" s="740"/>
      <c r="J1" s="736" t="s">
        <v>292</v>
      </c>
      <c r="K1" s="736"/>
      <c r="L1" s="741" t="s">
        <v>520</v>
      </c>
      <c r="M1" s="741"/>
      <c r="N1" s="740" t="s">
        <v>146</v>
      </c>
      <c r="O1" s="740"/>
      <c r="P1" s="736" t="s">
        <v>293</v>
      </c>
      <c r="Q1" s="736"/>
      <c r="R1" s="741" t="s">
        <v>522</v>
      </c>
      <c r="S1" s="741"/>
      <c r="T1" s="730" t="s">
        <v>193</v>
      </c>
      <c r="U1" s="730"/>
      <c r="V1" s="736" t="s">
        <v>292</v>
      </c>
      <c r="W1" s="736"/>
      <c r="X1" s="735" t="s">
        <v>524</v>
      </c>
      <c r="Y1" s="735"/>
      <c r="Z1" s="730" t="s">
        <v>241</v>
      </c>
      <c r="AA1" s="730"/>
      <c r="AB1" s="737" t="s">
        <v>292</v>
      </c>
      <c r="AC1" s="737"/>
      <c r="AD1" s="738" t="s">
        <v>524</v>
      </c>
      <c r="AE1" s="738"/>
      <c r="AF1" s="730" t="s">
        <v>367</v>
      </c>
      <c r="AG1" s="730"/>
      <c r="AH1" s="737" t="s">
        <v>292</v>
      </c>
      <c r="AI1" s="737"/>
      <c r="AJ1" s="735" t="s">
        <v>530</v>
      </c>
      <c r="AK1" s="735"/>
      <c r="AL1" s="730" t="s">
        <v>389</v>
      </c>
      <c r="AM1" s="730"/>
      <c r="AN1" s="747" t="s">
        <v>292</v>
      </c>
      <c r="AO1" s="747"/>
      <c r="AP1" s="745" t="s">
        <v>531</v>
      </c>
      <c r="AQ1" s="745"/>
      <c r="AR1" s="730" t="s">
        <v>416</v>
      </c>
      <c r="AS1" s="730"/>
      <c r="AV1" s="745" t="s">
        <v>285</v>
      </c>
      <c r="AW1" s="745"/>
      <c r="AX1" s="748" t="s">
        <v>998</v>
      </c>
      <c r="AY1" s="748"/>
      <c r="AZ1" s="748"/>
      <c r="BA1" s="207"/>
      <c r="BB1" s="743">
        <v>42942</v>
      </c>
      <c r="BC1" s="744"/>
      <c r="BD1" s="7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19" t="s">
        <v>233</v>
      </c>
      <c r="Y4" s="123">
        <f>Y3-Y6</f>
        <v>4.9669099999591708</v>
      </c>
      <c r="Z4" s="729" t="s">
        <v>262</v>
      </c>
      <c r="AA4" s="729"/>
      <c r="AD4" s="154" t="s">
        <v>233</v>
      </c>
      <c r="AE4" s="154">
        <f>AE3-AE5</f>
        <v>-52.526899999851594</v>
      </c>
      <c r="AF4" s="729" t="s">
        <v>262</v>
      </c>
      <c r="AG4" s="729"/>
      <c r="AH4" s="143"/>
      <c r="AI4" s="143"/>
      <c r="AJ4" s="154" t="s">
        <v>233</v>
      </c>
      <c r="AK4" s="154">
        <f>AK3-AK5</f>
        <v>94.988909999992757</v>
      </c>
      <c r="AL4" s="729" t="s">
        <v>262</v>
      </c>
      <c r="AM4" s="729"/>
      <c r="AP4" s="170" t="s">
        <v>233</v>
      </c>
      <c r="AQ4" s="174">
        <f>AQ3-AQ5</f>
        <v>33.841989999942598</v>
      </c>
      <c r="AR4" s="729" t="s">
        <v>262</v>
      </c>
      <c r="AS4" s="729"/>
      <c r="AX4" s="729" t="s">
        <v>564</v>
      </c>
      <c r="AY4" s="729"/>
      <c r="BB4" s="729" t="s">
        <v>567</v>
      </c>
      <c r="BC4" s="7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9"/>
      <c r="AG5" s="729"/>
      <c r="AH5" s="143"/>
      <c r="AI5" s="143"/>
      <c r="AJ5" s="154" t="s">
        <v>352</v>
      </c>
      <c r="AK5" s="162">
        <f>SUM(AK11:AK59)</f>
        <v>30858.011000000002</v>
      </c>
      <c r="AL5" s="729"/>
      <c r="AM5" s="7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9"/>
      <c r="AS5" s="729"/>
      <c r="AX5" s="729"/>
      <c r="AY5" s="729"/>
      <c r="BB5" s="729"/>
      <c r="BC5" s="729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1" t="s">
        <v>264</v>
      </c>
      <c r="W23" s="7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3"/>
      <c r="W24" s="7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1" zoomScaleNormal="100" workbookViewId="0">
      <selection activeCell="I51" sqref="I51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3" t="s">
        <v>3277</v>
      </c>
      <c r="H3" s="754"/>
      <c r="I3" s="712"/>
      <c r="J3" s="753" t="s">
        <v>2543</v>
      </c>
      <c r="K3" s="754"/>
      <c r="L3" s="345"/>
      <c r="M3" s="753" t="s">
        <v>2544</v>
      </c>
      <c r="N3" s="754"/>
      <c r="O3" s="273"/>
      <c r="P3" s="753">
        <v>43739</v>
      </c>
      <c r="Q3" s="754"/>
      <c r="R3" s="753">
        <v>42401</v>
      </c>
      <c r="S3" s="754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7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7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3285</v>
      </c>
      <c r="F6" s="63" t="s">
        <v>1180</v>
      </c>
      <c r="G6" s="349" t="s">
        <v>3290</v>
      </c>
      <c r="H6" s="226">
        <f>1000*(4+2+5+3+7+10+3+5+2+3+1)</f>
        <v>45000</v>
      </c>
      <c r="I6" s="226"/>
      <c r="J6" s="349" t="s">
        <v>2571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3286</v>
      </c>
      <c r="F7" s="63" t="s">
        <v>1180</v>
      </c>
      <c r="G7" s="349"/>
      <c r="H7" s="226">
        <v>238</v>
      </c>
      <c r="I7" s="226"/>
      <c r="J7" s="349"/>
      <c r="K7" s="226" t="s">
        <v>2570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3295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3282</v>
      </c>
      <c r="F10" s="63" t="s">
        <v>1180</v>
      </c>
      <c r="G10" s="349" t="s">
        <v>3290</v>
      </c>
      <c r="H10" s="226">
        <f>4600+3700*7</f>
        <v>30500</v>
      </c>
      <c r="I10" s="63" t="s">
        <v>3287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3284</v>
      </c>
      <c r="F11" s="63" t="s">
        <v>1180</v>
      </c>
      <c r="G11" s="349"/>
      <c r="H11" s="226">
        <v>2191</v>
      </c>
      <c r="I11" s="719" t="s">
        <v>3281</v>
      </c>
      <c r="J11" s="720"/>
      <c r="K11" s="721" t="s">
        <v>2545</v>
      </c>
      <c r="L11" s="721"/>
      <c r="M11" s="720"/>
      <c r="N11" s="721">
        <v>-46000</v>
      </c>
      <c r="O11" s="721"/>
      <c r="P11" s="720"/>
      <c r="Q11" s="721">
        <v>-36000</v>
      </c>
      <c r="R11" s="719"/>
      <c r="S11" s="719"/>
    </row>
    <row r="12" spans="2:19" ht="14.25" customHeight="1">
      <c r="B12" s="63"/>
      <c r="C12" s="71"/>
      <c r="D12" s="71" t="s">
        <v>1042</v>
      </c>
      <c r="E12" s="63" t="s">
        <v>3283</v>
      </c>
      <c r="F12" s="63" t="s">
        <v>1180</v>
      </c>
      <c r="G12" s="349"/>
      <c r="H12" s="226">
        <v>34004</v>
      </c>
      <c r="I12" s="719" t="s">
        <v>2457</v>
      </c>
      <c r="J12" s="720"/>
      <c r="K12" s="722">
        <v>5000</v>
      </c>
      <c r="L12" s="721"/>
      <c r="M12" s="720"/>
      <c r="N12" s="723">
        <f>Q12</f>
        <v>5000</v>
      </c>
      <c r="O12" s="721"/>
      <c r="P12" s="720"/>
      <c r="Q12" s="721">
        <v>5000</v>
      </c>
      <c r="R12" s="719"/>
      <c r="S12" s="719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7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7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49" t="s">
        <v>2480</v>
      </c>
      <c r="D16" s="71" t="s">
        <v>2542</v>
      </c>
      <c r="E16" s="63" t="s">
        <v>2472</v>
      </c>
      <c r="F16" s="63" t="s">
        <v>1180</v>
      </c>
      <c r="G16" s="349"/>
      <c r="H16" s="717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0"/>
      <c r="D17" s="71" t="s">
        <v>2542</v>
      </c>
      <c r="E17" s="63" t="s">
        <v>2474</v>
      </c>
      <c r="F17" s="63" t="s">
        <v>1180</v>
      </c>
      <c r="G17" s="349"/>
      <c r="H17" s="717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0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0"/>
      <c r="D19" s="71" t="s">
        <v>2542</v>
      </c>
      <c r="E19" s="63" t="s">
        <v>2471</v>
      </c>
      <c r="F19" s="63" t="s">
        <v>1180</v>
      </c>
      <c r="G19" s="718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0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0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0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0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0"/>
      <c r="D24" s="71" t="s">
        <v>1042</v>
      </c>
      <c r="E24" s="726" t="s">
        <v>3300</v>
      </c>
      <c r="F24" s="63" t="s">
        <v>1180</v>
      </c>
      <c r="G24" s="350">
        <v>50065</v>
      </c>
      <c r="H24" s="226"/>
      <c r="I24" s="719" t="s">
        <v>2475</v>
      </c>
      <c r="J24" s="720" t="s">
        <v>2459</v>
      </c>
      <c r="K24" s="721"/>
      <c r="L24" s="721"/>
      <c r="M24" s="728">
        <f>P24</f>
        <v>20000</v>
      </c>
      <c r="N24" s="721"/>
      <c r="O24" s="721"/>
      <c r="P24" s="720">
        <v>20000</v>
      </c>
      <c r="Q24" s="721"/>
      <c r="R24" s="720">
        <v>30000</v>
      </c>
      <c r="S24" s="719"/>
    </row>
    <row r="25" spans="2:19" s="347" customFormat="1">
      <c r="B25" s="63" t="s">
        <v>2458</v>
      </c>
      <c r="C25" s="751"/>
      <c r="D25" s="71" t="s">
        <v>2542</v>
      </c>
      <c r="E25" s="63" t="s">
        <v>3293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3297</v>
      </c>
      <c r="F26" s="63" t="s">
        <v>1180</v>
      </c>
      <c r="G26" s="350">
        <v>1245</v>
      </c>
      <c r="H26" s="226"/>
      <c r="I26" s="719" t="s">
        <v>2469</v>
      </c>
      <c r="J26" s="720">
        <v>1000</v>
      </c>
      <c r="K26" s="721" t="s">
        <v>2462</v>
      </c>
      <c r="L26" s="721"/>
      <c r="M26" s="720">
        <v>92574</v>
      </c>
      <c r="N26" s="721"/>
      <c r="O26" s="721"/>
      <c r="P26" s="720">
        <v>102000</v>
      </c>
      <c r="Q26" s="721"/>
      <c r="R26" s="727">
        <v>55000</v>
      </c>
      <c r="S26" s="719"/>
    </row>
    <row r="27" spans="2:19">
      <c r="B27" s="63" t="s">
        <v>322</v>
      </c>
      <c r="C27" s="71" t="s">
        <v>335</v>
      </c>
      <c r="D27" s="71" t="s">
        <v>1042</v>
      </c>
      <c r="E27" s="63" t="s">
        <v>3296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3291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3302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352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5" t="s">
        <v>1179</v>
      </c>
      <c r="E31" s="360" t="s">
        <v>3311</v>
      </c>
      <c r="F31" s="183" t="s">
        <v>2498</v>
      </c>
      <c r="G31" s="793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6" t="s">
        <v>3303</v>
      </c>
      <c r="F32" s="71" t="s">
        <v>1181</v>
      </c>
      <c r="G32" s="350" t="s">
        <v>3304</v>
      </c>
      <c r="H32" s="226"/>
      <c r="I32" s="719" t="s">
        <v>3281</v>
      </c>
      <c r="J32" s="720" t="s">
        <v>2466</v>
      </c>
      <c r="K32" s="721"/>
      <c r="L32" s="721"/>
      <c r="M32" s="720">
        <v>-30000</v>
      </c>
      <c r="N32" s="721"/>
      <c r="O32" s="721"/>
      <c r="P32" s="720">
        <v>-40000</v>
      </c>
      <c r="Q32" s="721"/>
      <c r="R32" s="720">
        <v>-30000</v>
      </c>
      <c r="S32" s="719"/>
    </row>
    <row r="33" spans="2:19" s="365" customFormat="1">
      <c r="B33" s="63"/>
      <c r="C33" s="71"/>
      <c r="D33" s="725" t="s">
        <v>1042</v>
      </c>
      <c r="E33" s="360" t="s">
        <v>3299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3298</v>
      </c>
      <c r="F34" s="183" t="s">
        <v>1180</v>
      </c>
      <c r="G34" s="793">
        <v>-12000</v>
      </c>
      <c r="H34" s="226"/>
      <c r="I34" s="226"/>
      <c r="J34" s="352" t="s">
        <v>2539</v>
      </c>
      <c r="K34" s="226"/>
      <c r="L34" s="226"/>
      <c r="M34" s="354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3294</v>
      </c>
      <c r="F35" s="63" t="s">
        <v>1180</v>
      </c>
      <c r="G35" s="349">
        <v>1700</v>
      </c>
      <c r="H35" s="226"/>
      <c r="I35" s="226"/>
      <c r="J35" s="349"/>
      <c r="K35" s="226"/>
      <c r="L35" s="226"/>
      <c r="M35" s="349"/>
      <c r="N35" s="351">
        <f>Q35</f>
        <v>20000</v>
      </c>
      <c r="O35" s="719" t="s">
        <v>3288</v>
      </c>
      <c r="P35" s="720"/>
      <c r="Q35" s="721">
        <v>20000</v>
      </c>
      <c r="R35" s="719"/>
      <c r="S35" s="719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3306</v>
      </c>
      <c r="F36" s="63" t="s">
        <v>1180</v>
      </c>
      <c r="G36" s="350">
        <v>20000</v>
      </c>
      <c r="H36" s="226"/>
      <c r="I36" s="226"/>
      <c r="J36" s="350">
        <v>16000</v>
      </c>
      <c r="K36" s="226" t="s">
        <v>3305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3308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3292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3307</v>
      </c>
      <c r="F41" s="201">
        <v>1.34</v>
      </c>
      <c r="G41" s="114"/>
      <c r="H41" s="114" t="s">
        <v>3289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5">
        <f>G39/$F$41+H39</f>
        <v>2123199.4179104473</v>
      </c>
      <c r="H42" s="755"/>
      <c r="I42" s="2"/>
      <c r="J42" s="755">
        <f>J39/$F$41+K39</f>
        <v>1922776.1194029851</v>
      </c>
      <c r="K42" s="755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2">
        <f>H39*F41+G39</f>
        <v>2845087.22</v>
      </c>
      <c r="H43" s="752"/>
      <c r="I43" s="2"/>
      <c r="J43" s="752">
        <f>K39*F41+J39</f>
        <v>2576520</v>
      </c>
      <c r="K43" s="752"/>
      <c r="L43" s="2"/>
      <c r="M43" s="752">
        <f>N39*1.37+M39</f>
        <v>1877697.6600000001</v>
      </c>
      <c r="N43" s="752"/>
      <c r="O43" s="2"/>
      <c r="P43" s="752">
        <f>Q39*1.37+P39</f>
        <v>1789659</v>
      </c>
      <c r="Q43" s="752"/>
      <c r="R43" s="752">
        <f>S39*1.36+R39</f>
        <v>1320187.2</v>
      </c>
      <c r="S43" s="752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6" t="s">
        <v>1183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>
      <c r="B47" s="716" t="s">
        <v>2464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16" t="s">
        <v>2463</v>
      </c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</row>
    <row r="49" spans="2:17" ht="12.75" customHeight="1">
      <c r="B49" s="715"/>
      <c r="C49" s="715"/>
      <c r="D49" s="715"/>
      <c r="E49" s="715"/>
      <c r="F49" s="715"/>
      <c r="G49" s="715"/>
      <c r="H49" s="715"/>
      <c r="I49" s="715"/>
      <c r="J49" s="715"/>
      <c r="K49" s="715"/>
      <c r="L49" s="715"/>
      <c r="M49" s="715"/>
      <c r="N49" s="715"/>
      <c r="O49" s="715"/>
      <c r="P49" s="715"/>
      <c r="Q49" s="715"/>
    </row>
    <row r="50" spans="2:17">
      <c r="B50" s="715"/>
      <c r="C50" s="715"/>
      <c r="D50" s="715"/>
      <c r="E50" s="715"/>
      <c r="F50" s="715"/>
      <c r="G50" s="715"/>
      <c r="H50" s="715"/>
      <c r="I50" s="715"/>
      <c r="J50" s="715"/>
      <c r="K50" s="715"/>
      <c r="L50" s="715"/>
      <c r="M50" s="715"/>
      <c r="N50" s="715"/>
      <c r="O50" s="715"/>
      <c r="P50" s="715"/>
      <c r="Q50" s="715"/>
    </row>
    <row r="51" spans="2:17">
      <c r="B51" s="715"/>
      <c r="C51" s="715"/>
      <c r="D51" s="715"/>
      <c r="E51" s="715"/>
      <c r="F51" s="715"/>
      <c r="G51" s="715"/>
      <c r="H51" s="715"/>
      <c r="I51" s="715"/>
      <c r="J51" s="715"/>
      <c r="K51" s="715"/>
      <c r="L51" s="715"/>
      <c r="M51" s="715"/>
      <c r="N51" s="715"/>
      <c r="O51" s="715"/>
      <c r="P51" s="715"/>
      <c r="Q51" s="715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7" t="s">
        <v>2532</v>
      </c>
      <c r="F38" s="758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6" t="s">
        <v>989</v>
      </c>
      <c r="C41" s="756"/>
      <c r="D41" s="756"/>
      <c r="E41" s="756"/>
      <c r="F41" s="756"/>
      <c r="G41" s="756"/>
      <c r="H41" s="7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39" t="s">
        <v>909</v>
      </c>
      <c r="C1" s="739"/>
      <c r="D1" s="738" t="s">
        <v>515</v>
      </c>
      <c r="E1" s="738"/>
      <c r="F1" s="739" t="s">
        <v>513</v>
      </c>
      <c r="G1" s="739"/>
      <c r="H1" s="763" t="s">
        <v>549</v>
      </c>
      <c r="I1" s="763"/>
      <c r="J1" s="738" t="s">
        <v>515</v>
      </c>
      <c r="K1" s="738"/>
      <c r="L1" s="739" t="s">
        <v>908</v>
      </c>
      <c r="M1" s="739"/>
      <c r="N1" s="763" t="s">
        <v>549</v>
      </c>
      <c r="O1" s="763"/>
      <c r="P1" s="738" t="s">
        <v>515</v>
      </c>
      <c r="Q1" s="738"/>
      <c r="R1" s="739" t="s">
        <v>552</v>
      </c>
      <c r="S1" s="739"/>
      <c r="T1" s="763" t="s">
        <v>549</v>
      </c>
      <c r="U1" s="763"/>
      <c r="V1" s="738" t="s">
        <v>515</v>
      </c>
      <c r="W1" s="738"/>
      <c r="X1" s="739" t="s">
        <v>907</v>
      </c>
      <c r="Y1" s="739"/>
      <c r="Z1" s="763" t="s">
        <v>549</v>
      </c>
      <c r="AA1" s="763"/>
      <c r="AB1" s="738" t="s">
        <v>515</v>
      </c>
      <c r="AC1" s="738"/>
      <c r="AD1" s="739" t="s">
        <v>591</v>
      </c>
      <c r="AE1" s="739"/>
      <c r="AF1" s="763" t="s">
        <v>549</v>
      </c>
      <c r="AG1" s="763"/>
      <c r="AH1" s="738" t="s">
        <v>515</v>
      </c>
      <c r="AI1" s="738"/>
      <c r="AJ1" s="739" t="s">
        <v>906</v>
      </c>
      <c r="AK1" s="739"/>
      <c r="AL1" s="763" t="s">
        <v>626</v>
      </c>
      <c r="AM1" s="763"/>
      <c r="AN1" s="738" t="s">
        <v>627</v>
      </c>
      <c r="AO1" s="738"/>
      <c r="AP1" s="739" t="s">
        <v>621</v>
      </c>
      <c r="AQ1" s="739"/>
      <c r="AR1" s="763" t="s">
        <v>549</v>
      </c>
      <c r="AS1" s="763"/>
      <c r="AT1" s="738" t="s">
        <v>515</v>
      </c>
      <c r="AU1" s="738"/>
      <c r="AV1" s="739" t="s">
        <v>905</v>
      </c>
      <c r="AW1" s="739"/>
      <c r="AX1" s="763" t="s">
        <v>549</v>
      </c>
      <c r="AY1" s="763"/>
      <c r="AZ1" s="738" t="s">
        <v>515</v>
      </c>
      <c r="BA1" s="738"/>
      <c r="BB1" s="739" t="s">
        <v>653</v>
      </c>
      <c r="BC1" s="739"/>
      <c r="BD1" s="763" t="s">
        <v>549</v>
      </c>
      <c r="BE1" s="763"/>
      <c r="BF1" s="738" t="s">
        <v>515</v>
      </c>
      <c r="BG1" s="738"/>
      <c r="BH1" s="739" t="s">
        <v>904</v>
      </c>
      <c r="BI1" s="739"/>
      <c r="BJ1" s="763" t="s">
        <v>549</v>
      </c>
      <c r="BK1" s="763"/>
      <c r="BL1" s="738" t="s">
        <v>515</v>
      </c>
      <c r="BM1" s="738"/>
      <c r="BN1" s="739" t="s">
        <v>921</v>
      </c>
      <c r="BO1" s="739"/>
      <c r="BP1" s="763" t="s">
        <v>549</v>
      </c>
      <c r="BQ1" s="763"/>
      <c r="BR1" s="738" t="s">
        <v>515</v>
      </c>
      <c r="BS1" s="738"/>
      <c r="BT1" s="739" t="s">
        <v>903</v>
      </c>
      <c r="BU1" s="739"/>
      <c r="BV1" s="763" t="s">
        <v>704</v>
      </c>
      <c r="BW1" s="763"/>
      <c r="BX1" s="738" t="s">
        <v>705</v>
      </c>
      <c r="BY1" s="738"/>
      <c r="BZ1" s="739" t="s">
        <v>703</v>
      </c>
      <c r="CA1" s="739"/>
      <c r="CB1" s="763" t="s">
        <v>730</v>
      </c>
      <c r="CC1" s="763"/>
      <c r="CD1" s="738" t="s">
        <v>731</v>
      </c>
      <c r="CE1" s="738"/>
      <c r="CF1" s="739" t="s">
        <v>902</v>
      </c>
      <c r="CG1" s="739"/>
      <c r="CH1" s="763" t="s">
        <v>730</v>
      </c>
      <c r="CI1" s="763"/>
      <c r="CJ1" s="738" t="s">
        <v>731</v>
      </c>
      <c r="CK1" s="738"/>
      <c r="CL1" s="739" t="s">
        <v>748</v>
      </c>
      <c r="CM1" s="739"/>
      <c r="CN1" s="763" t="s">
        <v>730</v>
      </c>
      <c r="CO1" s="763"/>
      <c r="CP1" s="738" t="s">
        <v>731</v>
      </c>
      <c r="CQ1" s="738"/>
      <c r="CR1" s="739" t="s">
        <v>901</v>
      </c>
      <c r="CS1" s="739"/>
      <c r="CT1" s="763" t="s">
        <v>730</v>
      </c>
      <c r="CU1" s="763"/>
      <c r="CV1" s="761" t="s">
        <v>731</v>
      </c>
      <c r="CW1" s="761"/>
      <c r="CX1" s="739" t="s">
        <v>769</v>
      </c>
      <c r="CY1" s="739"/>
      <c r="CZ1" s="763" t="s">
        <v>730</v>
      </c>
      <c r="DA1" s="763"/>
      <c r="DB1" s="761" t="s">
        <v>731</v>
      </c>
      <c r="DC1" s="761"/>
      <c r="DD1" s="739" t="s">
        <v>900</v>
      </c>
      <c r="DE1" s="739"/>
      <c r="DF1" s="763" t="s">
        <v>816</v>
      </c>
      <c r="DG1" s="763"/>
      <c r="DH1" s="761" t="s">
        <v>817</v>
      </c>
      <c r="DI1" s="761"/>
      <c r="DJ1" s="739" t="s">
        <v>809</v>
      </c>
      <c r="DK1" s="739"/>
      <c r="DL1" s="763" t="s">
        <v>816</v>
      </c>
      <c r="DM1" s="763"/>
      <c r="DN1" s="761" t="s">
        <v>731</v>
      </c>
      <c r="DO1" s="761"/>
      <c r="DP1" s="739" t="s">
        <v>899</v>
      </c>
      <c r="DQ1" s="739"/>
      <c r="DR1" s="763" t="s">
        <v>816</v>
      </c>
      <c r="DS1" s="763"/>
      <c r="DT1" s="761" t="s">
        <v>731</v>
      </c>
      <c r="DU1" s="761"/>
      <c r="DV1" s="739" t="s">
        <v>898</v>
      </c>
      <c r="DW1" s="739"/>
      <c r="DX1" s="763" t="s">
        <v>816</v>
      </c>
      <c r="DY1" s="763"/>
      <c r="DZ1" s="761" t="s">
        <v>731</v>
      </c>
      <c r="EA1" s="761"/>
      <c r="EB1" s="739" t="s">
        <v>897</v>
      </c>
      <c r="EC1" s="739"/>
      <c r="ED1" s="763" t="s">
        <v>816</v>
      </c>
      <c r="EE1" s="763"/>
      <c r="EF1" s="761" t="s">
        <v>731</v>
      </c>
      <c r="EG1" s="761"/>
      <c r="EH1" s="739" t="s">
        <v>883</v>
      </c>
      <c r="EI1" s="739"/>
      <c r="EJ1" s="763" t="s">
        <v>816</v>
      </c>
      <c r="EK1" s="763"/>
      <c r="EL1" s="761" t="s">
        <v>936</v>
      </c>
      <c r="EM1" s="761"/>
      <c r="EN1" s="739" t="s">
        <v>922</v>
      </c>
      <c r="EO1" s="739"/>
      <c r="EP1" s="763" t="s">
        <v>816</v>
      </c>
      <c r="EQ1" s="763"/>
      <c r="ER1" s="761" t="s">
        <v>950</v>
      </c>
      <c r="ES1" s="761"/>
      <c r="ET1" s="739" t="s">
        <v>937</v>
      </c>
      <c r="EU1" s="739"/>
      <c r="EV1" s="763" t="s">
        <v>816</v>
      </c>
      <c r="EW1" s="763"/>
      <c r="EX1" s="761" t="s">
        <v>530</v>
      </c>
      <c r="EY1" s="761"/>
      <c r="EZ1" s="739" t="s">
        <v>952</v>
      </c>
      <c r="FA1" s="73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2" t="s">
        <v>779</v>
      </c>
      <c r="CU7" s="73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2" t="s">
        <v>778</v>
      </c>
      <c r="DA8" s="73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2" t="s">
        <v>778</v>
      </c>
      <c r="DG8" s="73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2" t="s">
        <v>778</v>
      </c>
      <c r="DM8" s="73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2" t="s">
        <v>778</v>
      </c>
      <c r="DS8" s="739"/>
      <c r="DT8" s="142" t="s">
        <v>783</v>
      </c>
      <c r="DU8" s="142">
        <f>SUM(DU13:DU17)</f>
        <v>32</v>
      </c>
      <c r="DV8" s="63"/>
      <c r="DW8" s="63"/>
      <c r="DX8" s="762" t="s">
        <v>778</v>
      </c>
      <c r="DY8" s="7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2" t="s">
        <v>928</v>
      </c>
      <c r="EK8" s="7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2" t="s">
        <v>928</v>
      </c>
      <c r="EQ9" s="73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2" t="s">
        <v>928</v>
      </c>
      <c r="EW9" s="73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2" t="s">
        <v>928</v>
      </c>
      <c r="EE11" s="73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2" t="s">
        <v>778</v>
      </c>
      <c r="CU12" s="7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0" t="s">
        <v>858</v>
      </c>
      <c r="FA21" s="760"/>
      <c r="FC21" s="237">
        <f>FC20-FC22</f>
        <v>113457.16899999997</v>
      </c>
      <c r="FD21" s="229"/>
      <c r="FE21" s="759" t="s">
        <v>1543</v>
      </c>
      <c r="FF21" s="759"/>
      <c r="FG21" s="7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0" t="s">
        <v>871</v>
      </c>
      <c r="FA22" s="76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0" t="s">
        <v>1000</v>
      </c>
      <c r="FA23" s="76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0" t="s">
        <v>1074</v>
      </c>
      <c r="FA24" s="76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4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4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5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U42" sqref="LU4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7" t="s">
        <v>1206</v>
      </c>
      <c r="B1" s="767"/>
      <c r="C1" s="747" t="s">
        <v>292</v>
      </c>
      <c r="D1" s="747"/>
      <c r="E1" s="745" t="s">
        <v>1010</v>
      </c>
      <c r="F1" s="745"/>
      <c r="G1" s="767" t="s">
        <v>1207</v>
      </c>
      <c r="H1" s="767"/>
      <c r="I1" s="747" t="s">
        <v>292</v>
      </c>
      <c r="J1" s="747"/>
      <c r="K1" s="745" t="s">
        <v>1011</v>
      </c>
      <c r="L1" s="745"/>
      <c r="M1" s="767" t="s">
        <v>1208</v>
      </c>
      <c r="N1" s="767"/>
      <c r="O1" s="747" t="s">
        <v>292</v>
      </c>
      <c r="P1" s="747"/>
      <c r="Q1" s="745" t="s">
        <v>1055</v>
      </c>
      <c r="R1" s="745"/>
      <c r="S1" s="767" t="s">
        <v>1209</v>
      </c>
      <c r="T1" s="767"/>
      <c r="U1" s="747" t="s">
        <v>292</v>
      </c>
      <c r="V1" s="747"/>
      <c r="W1" s="745" t="s">
        <v>627</v>
      </c>
      <c r="X1" s="745"/>
      <c r="Y1" s="767" t="s">
        <v>1210</v>
      </c>
      <c r="Z1" s="767"/>
      <c r="AA1" s="747" t="s">
        <v>292</v>
      </c>
      <c r="AB1" s="747"/>
      <c r="AC1" s="745" t="s">
        <v>1082</v>
      </c>
      <c r="AD1" s="745"/>
      <c r="AE1" s="767" t="s">
        <v>1211</v>
      </c>
      <c r="AF1" s="767"/>
      <c r="AG1" s="747" t="s">
        <v>292</v>
      </c>
      <c r="AH1" s="747"/>
      <c r="AI1" s="745" t="s">
        <v>1132</v>
      </c>
      <c r="AJ1" s="745"/>
      <c r="AK1" s="767" t="s">
        <v>1214</v>
      </c>
      <c r="AL1" s="767"/>
      <c r="AM1" s="747" t="s">
        <v>1130</v>
      </c>
      <c r="AN1" s="747"/>
      <c r="AO1" s="745" t="s">
        <v>1131</v>
      </c>
      <c r="AP1" s="745"/>
      <c r="AQ1" s="767" t="s">
        <v>1215</v>
      </c>
      <c r="AR1" s="767"/>
      <c r="AS1" s="747" t="s">
        <v>1130</v>
      </c>
      <c r="AT1" s="747"/>
      <c r="AU1" s="745" t="s">
        <v>1176</v>
      </c>
      <c r="AV1" s="745"/>
      <c r="AW1" s="767" t="s">
        <v>1212</v>
      </c>
      <c r="AX1" s="767"/>
      <c r="AY1" s="745" t="s">
        <v>1238</v>
      </c>
      <c r="AZ1" s="745"/>
      <c r="BA1" s="767" t="s">
        <v>1212</v>
      </c>
      <c r="BB1" s="767"/>
      <c r="BC1" s="747" t="s">
        <v>816</v>
      </c>
      <c r="BD1" s="747"/>
      <c r="BE1" s="745" t="s">
        <v>1205</v>
      </c>
      <c r="BF1" s="745"/>
      <c r="BG1" s="767" t="s">
        <v>1213</v>
      </c>
      <c r="BH1" s="767"/>
      <c r="BI1" s="747" t="s">
        <v>816</v>
      </c>
      <c r="BJ1" s="747"/>
      <c r="BK1" s="745" t="s">
        <v>1205</v>
      </c>
      <c r="BL1" s="745"/>
      <c r="BM1" s="767" t="s">
        <v>1223</v>
      </c>
      <c r="BN1" s="767"/>
      <c r="BO1" s="747" t="s">
        <v>816</v>
      </c>
      <c r="BP1" s="747"/>
      <c r="BQ1" s="745" t="s">
        <v>1241</v>
      </c>
      <c r="BR1" s="745"/>
      <c r="BS1" s="767" t="s">
        <v>1240</v>
      </c>
      <c r="BT1" s="767"/>
      <c r="BU1" s="747" t="s">
        <v>816</v>
      </c>
      <c r="BV1" s="747"/>
      <c r="BW1" s="745" t="s">
        <v>1245</v>
      </c>
      <c r="BX1" s="745"/>
      <c r="BY1" s="767" t="s">
        <v>1267</v>
      </c>
      <c r="BZ1" s="767"/>
      <c r="CA1" s="747" t="s">
        <v>816</v>
      </c>
      <c r="CB1" s="747"/>
      <c r="CC1" s="745" t="s">
        <v>1241</v>
      </c>
      <c r="CD1" s="745"/>
      <c r="CE1" s="767" t="s">
        <v>1288</v>
      </c>
      <c r="CF1" s="767"/>
      <c r="CG1" s="747" t="s">
        <v>816</v>
      </c>
      <c r="CH1" s="747"/>
      <c r="CI1" s="745" t="s">
        <v>1245</v>
      </c>
      <c r="CJ1" s="745"/>
      <c r="CK1" s="767" t="s">
        <v>1304</v>
      </c>
      <c r="CL1" s="767"/>
      <c r="CM1" s="747" t="s">
        <v>816</v>
      </c>
      <c r="CN1" s="747"/>
      <c r="CO1" s="745" t="s">
        <v>1241</v>
      </c>
      <c r="CP1" s="745"/>
      <c r="CQ1" s="767" t="s">
        <v>1332</v>
      </c>
      <c r="CR1" s="767"/>
      <c r="CS1" s="768" t="s">
        <v>816</v>
      </c>
      <c r="CT1" s="768"/>
      <c r="CU1" s="745" t="s">
        <v>1388</v>
      </c>
      <c r="CV1" s="745"/>
      <c r="CW1" s="767" t="s">
        <v>1371</v>
      </c>
      <c r="CX1" s="767"/>
      <c r="CY1" s="768" t="s">
        <v>816</v>
      </c>
      <c r="CZ1" s="768"/>
      <c r="DA1" s="745" t="s">
        <v>1594</v>
      </c>
      <c r="DB1" s="745"/>
      <c r="DC1" s="767" t="s">
        <v>1391</v>
      </c>
      <c r="DD1" s="767"/>
      <c r="DE1" s="768" t="s">
        <v>816</v>
      </c>
      <c r="DF1" s="768"/>
      <c r="DG1" s="745" t="s">
        <v>1488</v>
      </c>
      <c r="DH1" s="745"/>
      <c r="DI1" s="767" t="s">
        <v>1591</v>
      </c>
      <c r="DJ1" s="767"/>
      <c r="DK1" s="768" t="s">
        <v>816</v>
      </c>
      <c r="DL1" s="768"/>
      <c r="DM1" s="745" t="s">
        <v>1388</v>
      </c>
      <c r="DN1" s="745"/>
      <c r="DO1" s="767" t="s">
        <v>1592</v>
      </c>
      <c r="DP1" s="767"/>
      <c r="DQ1" s="768" t="s">
        <v>816</v>
      </c>
      <c r="DR1" s="768"/>
      <c r="DS1" s="745" t="s">
        <v>1587</v>
      </c>
      <c r="DT1" s="745"/>
      <c r="DU1" s="767" t="s">
        <v>1593</v>
      </c>
      <c r="DV1" s="767"/>
      <c r="DW1" s="768" t="s">
        <v>816</v>
      </c>
      <c r="DX1" s="768"/>
      <c r="DY1" s="745" t="s">
        <v>1613</v>
      </c>
      <c r="DZ1" s="745"/>
      <c r="EA1" s="766" t="s">
        <v>1608</v>
      </c>
      <c r="EB1" s="766"/>
      <c r="EC1" s="768" t="s">
        <v>816</v>
      </c>
      <c r="ED1" s="768"/>
      <c r="EE1" s="745" t="s">
        <v>1587</v>
      </c>
      <c r="EF1" s="745"/>
      <c r="EG1" s="454"/>
      <c r="EH1" s="766" t="s">
        <v>1638</v>
      </c>
      <c r="EI1" s="766"/>
      <c r="EJ1" s="768" t="s">
        <v>816</v>
      </c>
      <c r="EK1" s="768"/>
      <c r="EL1" s="745" t="s">
        <v>1671</v>
      </c>
      <c r="EM1" s="745"/>
      <c r="EN1" s="766" t="s">
        <v>1663</v>
      </c>
      <c r="EO1" s="766"/>
      <c r="EP1" s="768" t="s">
        <v>816</v>
      </c>
      <c r="EQ1" s="768"/>
      <c r="ER1" s="745" t="s">
        <v>1711</v>
      </c>
      <c r="ES1" s="745"/>
      <c r="ET1" s="766" t="s">
        <v>1704</v>
      </c>
      <c r="EU1" s="766"/>
      <c r="EV1" s="768" t="s">
        <v>816</v>
      </c>
      <c r="EW1" s="768"/>
      <c r="EX1" s="745" t="s">
        <v>1613</v>
      </c>
      <c r="EY1" s="745"/>
      <c r="EZ1" s="766" t="s">
        <v>1739</v>
      </c>
      <c r="FA1" s="766"/>
      <c r="FB1" s="768" t="s">
        <v>816</v>
      </c>
      <c r="FC1" s="768"/>
      <c r="FD1" s="745" t="s">
        <v>1594</v>
      </c>
      <c r="FE1" s="745"/>
      <c r="FF1" s="766" t="s">
        <v>1778</v>
      </c>
      <c r="FG1" s="766"/>
      <c r="FH1" s="768" t="s">
        <v>816</v>
      </c>
      <c r="FI1" s="768"/>
      <c r="FJ1" s="745" t="s">
        <v>1388</v>
      </c>
      <c r="FK1" s="745"/>
      <c r="FL1" s="766" t="s">
        <v>1813</v>
      </c>
      <c r="FM1" s="766"/>
      <c r="FN1" s="768" t="s">
        <v>816</v>
      </c>
      <c r="FO1" s="768"/>
      <c r="FP1" s="745" t="s">
        <v>1860</v>
      </c>
      <c r="FQ1" s="745"/>
      <c r="FR1" s="766" t="s">
        <v>1849</v>
      </c>
      <c r="FS1" s="766"/>
      <c r="FT1" s="768" t="s">
        <v>816</v>
      </c>
      <c r="FU1" s="768"/>
      <c r="FV1" s="745" t="s">
        <v>1860</v>
      </c>
      <c r="FW1" s="745"/>
      <c r="FX1" s="766" t="s">
        <v>1962</v>
      </c>
      <c r="FY1" s="766"/>
      <c r="FZ1" s="768" t="s">
        <v>816</v>
      </c>
      <c r="GA1" s="768"/>
      <c r="GB1" s="745" t="s">
        <v>1613</v>
      </c>
      <c r="GC1" s="745"/>
      <c r="GD1" s="766" t="s">
        <v>1963</v>
      </c>
      <c r="GE1" s="766"/>
      <c r="GF1" s="768" t="s">
        <v>816</v>
      </c>
      <c r="GG1" s="768"/>
      <c r="GH1" s="745" t="s">
        <v>1587</v>
      </c>
      <c r="GI1" s="745"/>
      <c r="GJ1" s="766" t="s">
        <v>1972</v>
      </c>
      <c r="GK1" s="766"/>
      <c r="GL1" s="768" t="s">
        <v>816</v>
      </c>
      <c r="GM1" s="768"/>
      <c r="GN1" s="745" t="s">
        <v>1587</v>
      </c>
      <c r="GO1" s="745"/>
      <c r="GP1" s="766" t="s">
        <v>2014</v>
      </c>
      <c r="GQ1" s="766"/>
      <c r="GR1" s="768" t="s">
        <v>816</v>
      </c>
      <c r="GS1" s="768"/>
      <c r="GT1" s="745" t="s">
        <v>1671</v>
      </c>
      <c r="GU1" s="745"/>
      <c r="GV1" s="766" t="s">
        <v>2043</v>
      </c>
      <c r="GW1" s="766"/>
      <c r="GX1" s="768" t="s">
        <v>816</v>
      </c>
      <c r="GY1" s="768"/>
      <c r="GZ1" s="745" t="s">
        <v>2082</v>
      </c>
      <c r="HA1" s="745"/>
      <c r="HB1" s="766" t="s">
        <v>2102</v>
      </c>
      <c r="HC1" s="766"/>
      <c r="HD1" s="768" t="s">
        <v>816</v>
      </c>
      <c r="HE1" s="768"/>
      <c r="HF1" s="745" t="s">
        <v>1711</v>
      </c>
      <c r="HG1" s="745"/>
      <c r="HH1" s="766" t="s">
        <v>2115</v>
      </c>
      <c r="HI1" s="766"/>
      <c r="HJ1" s="768" t="s">
        <v>816</v>
      </c>
      <c r="HK1" s="768"/>
      <c r="HL1" s="745" t="s">
        <v>1388</v>
      </c>
      <c r="HM1" s="745"/>
      <c r="HN1" s="766" t="s">
        <v>2161</v>
      </c>
      <c r="HO1" s="766"/>
      <c r="HP1" s="768" t="s">
        <v>816</v>
      </c>
      <c r="HQ1" s="768"/>
      <c r="HR1" s="745" t="s">
        <v>1388</v>
      </c>
      <c r="HS1" s="745"/>
      <c r="HT1" s="766" t="s">
        <v>2196</v>
      </c>
      <c r="HU1" s="766"/>
      <c r="HV1" s="768" t="s">
        <v>816</v>
      </c>
      <c r="HW1" s="768"/>
      <c r="HX1" s="745" t="s">
        <v>1613</v>
      </c>
      <c r="HY1" s="745"/>
      <c r="HZ1" s="766" t="s">
        <v>2241</v>
      </c>
      <c r="IA1" s="766"/>
      <c r="IB1" s="768" t="s">
        <v>816</v>
      </c>
      <c r="IC1" s="768"/>
      <c r="ID1" s="745" t="s">
        <v>1711</v>
      </c>
      <c r="IE1" s="745"/>
      <c r="IF1" s="766" t="s">
        <v>2306</v>
      </c>
      <c r="IG1" s="766"/>
      <c r="IH1" s="768" t="s">
        <v>816</v>
      </c>
      <c r="II1" s="768"/>
      <c r="IJ1" s="745" t="s">
        <v>1587</v>
      </c>
      <c r="IK1" s="745"/>
      <c r="IL1" s="766" t="s">
        <v>2375</v>
      </c>
      <c r="IM1" s="766"/>
      <c r="IN1" s="768" t="s">
        <v>816</v>
      </c>
      <c r="IO1" s="768"/>
      <c r="IP1" s="745" t="s">
        <v>1613</v>
      </c>
      <c r="IQ1" s="745"/>
      <c r="IR1" s="766" t="s">
        <v>2535</v>
      </c>
      <c r="IS1" s="766"/>
      <c r="IT1" s="768" t="s">
        <v>816</v>
      </c>
      <c r="IU1" s="768"/>
      <c r="IV1" s="745" t="s">
        <v>1744</v>
      </c>
      <c r="IW1" s="745"/>
      <c r="IX1" s="766" t="s">
        <v>2534</v>
      </c>
      <c r="IY1" s="766"/>
      <c r="IZ1" s="768" t="s">
        <v>816</v>
      </c>
      <c r="JA1" s="768"/>
      <c r="JB1" s="745" t="s">
        <v>1860</v>
      </c>
      <c r="JC1" s="745"/>
      <c r="JD1" s="766" t="s">
        <v>2575</v>
      </c>
      <c r="JE1" s="766"/>
      <c r="JF1" s="768" t="s">
        <v>816</v>
      </c>
      <c r="JG1" s="768"/>
      <c r="JH1" s="745" t="s">
        <v>1744</v>
      </c>
      <c r="JI1" s="745"/>
      <c r="JJ1" s="766" t="s">
        <v>2618</v>
      </c>
      <c r="JK1" s="766"/>
      <c r="JL1" s="455" t="s">
        <v>816</v>
      </c>
      <c r="JM1" s="455"/>
      <c r="JN1" s="454" t="s">
        <v>1744</v>
      </c>
      <c r="JO1" s="454"/>
      <c r="JP1" s="766" t="s">
        <v>2670</v>
      </c>
      <c r="JQ1" s="766"/>
      <c r="JR1" s="455" t="s">
        <v>816</v>
      </c>
      <c r="JS1" s="455"/>
      <c r="JT1" s="454" t="s">
        <v>1671</v>
      </c>
      <c r="JU1" s="454"/>
      <c r="JV1" s="766" t="s">
        <v>2715</v>
      </c>
      <c r="JW1" s="766"/>
      <c r="JX1" s="455" t="s">
        <v>816</v>
      </c>
      <c r="JY1" s="455"/>
      <c r="JZ1" s="454" t="s">
        <v>2983</v>
      </c>
      <c r="KA1" s="454"/>
      <c r="KB1" s="766" t="s">
        <v>2809</v>
      </c>
      <c r="KC1" s="766"/>
      <c r="KD1" s="455" t="s">
        <v>816</v>
      </c>
      <c r="KE1" s="455"/>
      <c r="KF1" s="454" t="s">
        <v>1388</v>
      </c>
      <c r="KG1" s="454"/>
      <c r="KH1" s="766" t="s">
        <v>2856</v>
      </c>
      <c r="KI1" s="766"/>
      <c r="KJ1" s="455" t="s">
        <v>816</v>
      </c>
      <c r="KK1" s="455"/>
      <c r="KL1" s="454" t="s">
        <v>1587</v>
      </c>
      <c r="KM1" s="454"/>
      <c r="KN1" s="766" t="s">
        <v>2969</v>
      </c>
      <c r="KO1" s="766"/>
      <c r="KP1" s="455" t="s">
        <v>816</v>
      </c>
      <c r="KQ1" s="455"/>
      <c r="KR1" s="454" t="s">
        <v>1587</v>
      </c>
      <c r="KS1" s="454"/>
      <c r="KT1" s="766" t="s">
        <v>3036</v>
      </c>
      <c r="KU1" s="766"/>
      <c r="KV1" s="455" t="s">
        <v>816</v>
      </c>
      <c r="KW1" s="455"/>
      <c r="KX1" s="611" t="s">
        <v>1587</v>
      </c>
      <c r="KY1" s="454"/>
      <c r="KZ1" s="766" t="s">
        <v>3093</v>
      </c>
      <c r="LA1" s="766"/>
      <c r="LB1" s="613" t="s">
        <v>816</v>
      </c>
      <c r="LC1" s="613"/>
      <c r="LD1" s="611" t="s">
        <v>1744</v>
      </c>
      <c r="LE1" s="611"/>
      <c r="LF1" s="766" t="s">
        <v>3156</v>
      </c>
      <c r="LG1" s="766"/>
      <c r="LH1" s="647" t="s">
        <v>816</v>
      </c>
      <c r="LI1" s="647"/>
      <c r="LJ1" s="645" t="s">
        <v>1744</v>
      </c>
      <c r="LK1" s="645"/>
      <c r="LL1" s="766" t="s">
        <v>3201</v>
      </c>
      <c r="LM1" s="766"/>
      <c r="LN1" s="678" t="s">
        <v>816</v>
      </c>
      <c r="LO1" s="697"/>
      <c r="LP1" s="676" t="s">
        <v>1744</v>
      </c>
      <c r="LQ1" s="676"/>
      <c r="LR1" s="766" t="s">
        <v>3202</v>
      </c>
      <c r="LS1" s="766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2957</v>
      </c>
      <c r="KI2" s="259">
        <f>KI4+KI3-SUM(KI5:KI6)</f>
        <v>80796.44</v>
      </c>
      <c r="KJ2" s="340" t="s">
        <v>2987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2957</v>
      </c>
      <c r="KO2" s="446">
        <f>SUM(KO3:KO4)-KO9</f>
        <v>44555.639999999956</v>
      </c>
      <c r="KP2" s="340" t="s">
        <v>2987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2975</v>
      </c>
      <c r="KU2" s="259">
        <v>-50000</v>
      </c>
      <c r="KV2" s="340" t="s">
        <v>2987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2999</v>
      </c>
      <c r="LA2" s="311">
        <f>SUM(LA7:LA33)</f>
        <v>325738.49000000005</v>
      </c>
      <c r="LB2" s="616" t="s">
        <v>2987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2999</v>
      </c>
      <c r="LG2" s="311">
        <f>SUM(LG6:LG32)</f>
        <v>315756.62</v>
      </c>
      <c r="LH2" s="648" t="s">
        <v>2987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2999</v>
      </c>
      <c r="LM2" s="311">
        <f>SUM(LM6:LM35)</f>
        <v>356020.91</v>
      </c>
      <c r="LN2" s="679" t="s">
        <v>2987</v>
      </c>
      <c r="LO2" s="395">
        <f>SUM(LO4:LO28)</f>
        <v>8828.2910000000011</v>
      </c>
      <c r="LP2" s="203" t="s">
        <v>296</v>
      </c>
      <c r="LQ2" s="709">
        <f>LO2+LM2-LS2</f>
        <v>15148.010999999999</v>
      </c>
      <c r="LR2" s="679" t="s">
        <v>2999</v>
      </c>
      <c r="LS2" s="311">
        <f>SUM(LS8:LS36)</f>
        <v>349701.19</v>
      </c>
    </row>
    <row r="3" spans="1:334">
      <c r="A3" s="789" t="s">
        <v>991</v>
      </c>
      <c r="B3" s="789"/>
      <c r="E3" s="170" t="s">
        <v>233</v>
      </c>
      <c r="F3" s="174">
        <f>F2-F4</f>
        <v>17</v>
      </c>
      <c r="G3" s="789" t="s">
        <v>991</v>
      </c>
      <c r="H3" s="789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2688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2817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2872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2975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2999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8148.0009999999984</v>
      </c>
      <c r="LR3" s="689" t="s">
        <v>3231</v>
      </c>
      <c r="LS3" s="259">
        <f>-50000-135000-71200</f>
        <v>-256200</v>
      </c>
    </row>
    <row r="4" spans="1:334" ht="12.75" customHeight="1" thickBot="1">
      <c r="A4" s="789"/>
      <c r="B4" s="789"/>
      <c r="E4" s="170" t="s">
        <v>352</v>
      </c>
      <c r="F4" s="174">
        <f>SUM(F14:F57)</f>
        <v>12750</v>
      </c>
      <c r="G4" s="789"/>
      <c r="H4" s="789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2991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2991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2642</v>
      </c>
      <c r="JQ4" s="259">
        <f>-71000-140000</f>
        <v>-211000</v>
      </c>
      <c r="JR4" s="340" t="s">
        <v>2991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2642</v>
      </c>
      <c r="JW4" s="259">
        <f>$JQ$4</f>
        <v>-211000</v>
      </c>
      <c r="JX4" s="340" t="s">
        <v>2992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2818</v>
      </c>
      <c r="KC4" s="259">
        <f>-140000</f>
        <v>-140000</v>
      </c>
      <c r="KD4" s="340" t="s">
        <v>2991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2982</v>
      </c>
      <c r="KI4" s="311">
        <f>SUM(KI5:KI36)</f>
        <v>337796.44</v>
      </c>
      <c r="KJ4" s="340" t="s">
        <v>2991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2984</v>
      </c>
      <c r="KO4" s="311">
        <f>SUM(KO9:KO38)</f>
        <v>291555.63999999996</v>
      </c>
      <c r="KP4" s="340" t="s">
        <v>2991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2991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2991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3063</v>
      </c>
      <c r="LG4" s="450" t="s">
        <v>3062</v>
      </c>
      <c r="LH4" s="648" t="s">
        <v>2991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3063</v>
      </c>
      <c r="LM4" s="450" t="s">
        <v>3062</v>
      </c>
      <c r="LN4" s="679" t="s">
        <v>2991</v>
      </c>
      <c r="LO4" s="277"/>
      <c r="LP4" s="679" t="s">
        <v>1200</v>
      </c>
      <c r="LQ4" s="452">
        <f>LQ2-LQ5</f>
        <v>0.41100000000005821</v>
      </c>
      <c r="LR4" s="489" t="s">
        <v>3232</v>
      </c>
      <c r="LS4" s="708">
        <f>SUM(LS2:LS3)</f>
        <v>93501.19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2991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2991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2991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2991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3039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2550</v>
      </c>
      <c r="JQ5" s="318">
        <v>-80000</v>
      </c>
      <c r="JR5" s="340" t="s">
        <v>2894</v>
      </c>
      <c r="JS5" s="463">
        <v>-30</v>
      </c>
      <c r="JT5" s="340" t="s">
        <v>352</v>
      </c>
      <c r="JU5" s="260">
        <f>SUM(JU6:JU50)</f>
        <v>13510.48</v>
      </c>
      <c r="JV5" s="285" t="s">
        <v>2550</v>
      </c>
      <c r="JW5" s="318">
        <v>-77000</v>
      </c>
      <c r="JX5" s="340" t="s">
        <v>2895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2819</v>
      </c>
      <c r="KC5" s="259">
        <f>-135000</f>
        <v>-135000</v>
      </c>
      <c r="KD5" s="340" t="s">
        <v>2821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2832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2875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3063</v>
      </c>
      <c r="LA5" s="450" t="s">
        <v>3062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SUM(LQ6:LQ50)</f>
        <v>15147.599999999999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2551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2642</v>
      </c>
      <c r="JE6" s="259">
        <f>-140000-71000</f>
        <v>-211000</v>
      </c>
      <c r="JF6" s="340" t="s">
        <v>2493</v>
      </c>
      <c r="JG6" s="320">
        <v>-1401</v>
      </c>
      <c r="JH6" s="192" t="s">
        <v>2590</v>
      </c>
      <c r="JI6" s="340">
        <v>2000.06</v>
      </c>
      <c r="JJ6" s="340" t="s">
        <v>2642</v>
      </c>
      <c r="JK6" s="259">
        <v>-71000</v>
      </c>
      <c r="JM6" s="320"/>
      <c r="JN6" s="192" t="s">
        <v>2633</v>
      </c>
      <c r="JO6" s="340">
        <v>1000.07</v>
      </c>
      <c r="JP6" s="204" t="s">
        <v>2778</v>
      </c>
      <c r="JQ6" s="318"/>
      <c r="JR6" s="340" t="s">
        <v>2537</v>
      </c>
      <c r="JS6" s="463" t="s">
        <v>2680</v>
      </c>
      <c r="JT6" s="414" t="s">
        <v>2764</v>
      </c>
      <c r="JU6" s="420">
        <v>2000</v>
      </c>
      <c r="JV6" s="319" t="s">
        <v>2549</v>
      </c>
      <c r="JW6" s="259">
        <v>-4000</v>
      </c>
      <c r="JX6" s="340" t="s">
        <v>2493</v>
      </c>
      <c r="JY6" s="320">
        <v>-1800</v>
      </c>
      <c r="JZ6" s="414" t="s">
        <v>2755</v>
      </c>
      <c r="KA6" s="202">
        <v>1000.08</v>
      </c>
      <c r="KB6" s="285" t="s">
        <v>2550</v>
      </c>
      <c r="KC6" s="318">
        <v>-82000</v>
      </c>
      <c r="KE6" s="320"/>
      <c r="KF6" s="414" t="s">
        <v>1002</v>
      </c>
      <c r="KG6" s="340">
        <v>1900.09</v>
      </c>
      <c r="KH6" s="204" t="s">
        <v>2846</v>
      </c>
      <c r="KI6" s="318">
        <v>150000</v>
      </c>
      <c r="KJ6" s="340" t="s">
        <v>2875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3005</v>
      </c>
      <c r="KS6" s="441">
        <v>2000</v>
      </c>
      <c r="KT6" s="449">
        <v>20000</v>
      </c>
      <c r="KU6" s="450">
        <v>45370</v>
      </c>
      <c r="KV6" s="586" t="s">
        <v>3049</v>
      </c>
      <c r="KW6" s="202">
        <v>6.66</v>
      </c>
      <c r="KX6" s="442" t="s">
        <v>3059</v>
      </c>
      <c r="KY6" s="260">
        <v>50</v>
      </c>
      <c r="KZ6" s="449">
        <v>10000</v>
      </c>
      <c r="LA6" s="450">
        <v>45440</v>
      </c>
      <c r="LB6" s="621" t="s">
        <v>3152</v>
      </c>
      <c r="LC6" s="202">
        <v>200</v>
      </c>
      <c r="LD6" s="442" t="s">
        <v>3069</v>
      </c>
      <c r="LE6" s="260" t="s">
        <v>3068</v>
      </c>
      <c r="LF6" s="487" t="s">
        <v>2960</v>
      </c>
      <c r="LG6" s="451">
        <v>272000</v>
      </c>
      <c r="LH6" s="671"/>
      <c r="LI6" s="463"/>
      <c r="LJ6" s="442" t="s">
        <v>3069</v>
      </c>
      <c r="LK6" s="260" t="s">
        <v>3190</v>
      </c>
      <c r="LL6" s="487" t="s">
        <v>2960</v>
      </c>
      <c r="LM6" s="451">
        <v>282000</v>
      </c>
      <c r="LN6" s="711" t="s">
        <v>2831</v>
      </c>
      <c r="LO6" s="277">
        <v>70600</v>
      </c>
      <c r="LP6" s="442" t="s">
        <v>3069</v>
      </c>
      <c r="LQ6" s="261" t="s">
        <v>3190</v>
      </c>
      <c r="LR6" s="595" t="s">
        <v>3063</v>
      </c>
      <c r="LS6" s="450" t="s">
        <v>3062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2550</v>
      </c>
      <c r="IY7" s="318">
        <v>-75000</v>
      </c>
      <c r="IZ7" s="340" t="s">
        <v>2551</v>
      </c>
      <c r="JA7" s="320">
        <v>-30</v>
      </c>
      <c r="JB7" s="192" t="s">
        <v>1002</v>
      </c>
      <c r="JC7" s="202">
        <v>1900.03</v>
      </c>
      <c r="JD7" s="285" t="s">
        <v>2550</v>
      </c>
      <c r="JE7" s="318">
        <v>-75000</v>
      </c>
      <c r="JG7" s="320"/>
      <c r="JH7" s="192" t="s">
        <v>1002</v>
      </c>
      <c r="JI7" s="202">
        <v>1900.04</v>
      </c>
      <c r="JJ7" s="285" t="s">
        <v>2550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2549</v>
      </c>
      <c r="JQ7" s="259">
        <v>-4000</v>
      </c>
      <c r="JR7" s="340" t="s">
        <v>2708</v>
      </c>
      <c r="JS7" s="463">
        <v>236.43</v>
      </c>
      <c r="JT7" s="414" t="s">
        <v>1002</v>
      </c>
      <c r="JU7" s="340">
        <v>1900.06</v>
      </c>
      <c r="JV7" s="340" t="s">
        <v>2655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2549</v>
      </c>
      <c r="KC7" s="259">
        <v>-4000</v>
      </c>
      <c r="KD7" s="340" t="s">
        <v>2831</v>
      </c>
      <c r="KE7" s="477">
        <f>ABS(KC3+KC4)</f>
        <v>211000</v>
      </c>
      <c r="KF7" s="300" t="s">
        <v>2837</v>
      </c>
      <c r="KG7" s="340">
        <v>10.25</v>
      </c>
      <c r="KH7" s="340" t="s">
        <v>2869</v>
      </c>
      <c r="KI7" s="259">
        <v>-70600</v>
      </c>
      <c r="KJ7" s="340" t="s">
        <v>2954</v>
      </c>
      <c r="KK7" s="320">
        <v>-1800</v>
      </c>
      <c r="KL7" s="300" t="s">
        <v>2896</v>
      </c>
      <c r="KM7" s="340">
        <v>1112.4000000000001</v>
      </c>
      <c r="KN7" s="449">
        <v>20000</v>
      </c>
      <c r="KO7" s="450">
        <v>45370</v>
      </c>
      <c r="KP7" s="340" t="s">
        <v>3048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2960</v>
      </c>
      <c r="LA7" s="451">
        <v>262000</v>
      </c>
      <c r="LB7" s="621"/>
      <c r="LC7" s="630"/>
      <c r="LD7" s="442" t="s">
        <v>3102</v>
      </c>
      <c r="LE7" s="260">
        <f>1000+2000+5000</f>
        <v>8000</v>
      </c>
      <c r="LF7" s="616" t="s">
        <v>2869</v>
      </c>
      <c r="LG7" s="259">
        <v>-70600</v>
      </c>
      <c r="LH7" s="654" t="s">
        <v>3180</v>
      </c>
      <c r="LI7" s="202" t="s">
        <v>3179</v>
      </c>
      <c r="LJ7" s="442" t="s">
        <v>3218</v>
      </c>
      <c r="LK7" s="441">
        <v>1900.02</v>
      </c>
      <c r="LL7" s="648" t="s">
        <v>2869</v>
      </c>
      <c r="LM7" s="259">
        <v>-70600</v>
      </c>
      <c r="LN7" s="711" t="s">
        <v>3266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2549</v>
      </c>
      <c r="IY8" s="259">
        <v>-4000</v>
      </c>
      <c r="JA8" s="320"/>
      <c r="JB8" s="313" t="s">
        <v>2558</v>
      </c>
      <c r="JC8" s="202">
        <v>300.27999999999997</v>
      </c>
      <c r="JD8" s="319" t="s">
        <v>2549</v>
      </c>
      <c r="JE8" s="259">
        <v>-4000</v>
      </c>
      <c r="JF8" s="340" t="s">
        <v>2435</v>
      </c>
      <c r="JG8" s="320"/>
      <c r="JH8" s="313" t="s">
        <v>2605</v>
      </c>
      <c r="JI8" s="202">
        <v>327.74</v>
      </c>
      <c r="JJ8" s="319" t="s">
        <v>2549</v>
      </c>
      <c r="JK8" s="259">
        <v>-4000</v>
      </c>
      <c r="JL8" s="482" t="s">
        <v>2622</v>
      </c>
      <c r="JM8" s="340">
        <v>2.5</v>
      </c>
      <c r="JN8" s="313" t="s">
        <v>2658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2791</v>
      </c>
      <c r="JY8" s="463">
        <v>60</v>
      </c>
      <c r="JZ8" s="414" t="s">
        <v>1002</v>
      </c>
      <c r="KA8" s="340">
        <v>1900.08</v>
      </c>
      <c r="KB8" s="340" t="s">
        <v>3131</v>
      </c>
      <c r="KC8" s="259">
        <v>640008</v>
      </c>
      <c r="KD8" s="340" t="s">
        <v>2830</v>
      </c>
      <c r="KE8" s="484"/>
      <c r="KF8" s="243" t="s">
        <v>2835</v>
      </c>
      <c r="KG8" s="318">
        <v>2000</v>
      </c>
      <c r="KH8" s="340" t="s">
        <v>2870</v>
      </c>
      <c r="KI8" s="259">
        <f>-135000</f>
        <v>-135000</v>
      </c>
      <c r="KJ8" s="340" t="s">
        <v>2953</v>
      </c>
      <c r="KK8" s="320">
        <v>-1800.01</v>
      </c>
      <c r="KL8" s="300" t="s">
        <v>2923</v>
      </c>
      <c r="KM8" s="202">
        <v>9.4499999999999993</v>
      </c>
      <c r="KN8" s="449">
        <v>20000</v>
      </c>
      <c r="KO8" s="450">
        <v>45384</v>
      </c>
      <c r="KP8" s="204" t="s">
        <v>3002</v>
      </c>
      <c r="KQ8" s="320">
        <v>3010</v>
      </c>
      <c r="KR8" s="300" t="s">
        <v>2896</v>
      </c>
      <c r="KS8" s="202">
        <f>874.8+75.4</f>
        <v>950.19999999999993</v>
      </c>
      <c r="KT8" s="449">
        <v>30000</v>
      </c>
      <c r="KU8" s="450">
        <v>45398</v>
      </c>
      <c r="KV8" s="582" t="s">
        <v>3048</v>
      </c>
      <c r="KW8" s="320"/>
      <c r="KX8" s="300" t="s">
        <v>2896</v>
      </c>
      <c r="KY8" s="202">
        <v>993.6</v>
      </c>
      <c r="KZ8" s="340" t="s">
        <v>2869</v>
      </c>
      <c r="LA8" s="259">
        <v>-70600</v>
      </c>
      <c r="LB8" s="616" t="s">
        <v>3048</v>
      </c>
      <c r="LC8" s="320"/>
      <c r="LD8" s="442" t="s">
        <v>1002</v>
      </c>
      <c r="LE8" s="441">
        <f>1900.01</f>
        <v>1900.01</v>
      </c>
      <c r="LF8" s="616" t="s">
        <v>2972</v>
      </c>
      <c r="LG8" s="259">
        <v>-115915</v>
      </c>
      <c r="LH8" s="654" t="s">
        <v>3167</v>
      </c>
      <c r="LI8" s="630">
        <v>3.4</v>
      </c>
      <c r="LJ8" s="443" t="s">
        <v>2356</v>
      </c>
      <c r="LK8" s="441">
        <v>14.55</v>
      </c>
      <c r="LL8" s="648" t="s">
        <v>2972</v>
      </c>
      <c r="LM8" s="259" t="s">
        <v>3166</v>
      </c>
      <c r="LN8" s="711" t="s">
        <v>3266</v>
      </c>
      <c r="LO8" s="395">
        <f>-(48322.06)</f>
        <v>-48322.06</v>
      </c>
      <c r="LP8" s="442" t="s">
        <v>3246</v>
      </c>
      <c r="LQ8" s="202">
        <v>4000</v>
      </c>
      <c r="LR8" s="487" t="s">
        <v>2960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2568</v>
      </c>
      <c r="JA9" s="320">
        <f>544.23-533.02</f>
        <v>11.210000000000036</v>
      </c>
      <c r="JB9" s="313" t="s">
        <v>2578</v>
      </c>
      <c r="JC9" s="202">
        <v>600</v>
      </c>
      <c r="JD9" s="483" t="s">
        <v>2495</v>
      </c>
      <c r="JE9" s="259">
        <f>100*(120+1000+330+310)</f>
        <v>176000</v>
      </c>
      <c r="JF9" s="482" t="s">
        <v>2619</v>
      </c>
      <c r="JH9" s="300" t="s">
        <v>2896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2661</v>
      </c>
      <c r="JM9" s="340">
        <v>4.09</v>
      </c>
      <c r="JN9" s="313" t="s">
        <v>2624</v>
      </c>
      <c r="JO9" s="202">
        <v>127.14</v>
      </c>
      <c r="JP9" s="340" t="s">
        <v>2655</v>
      </c>
      <c r="JQ9" s="259">
        <v>515008</v>
      </c>
      <c r="JR9" s="482" t="s">
        <v>2693</v>
      </c>
      <c r="JS9" s="340">
        <v>2.33</v>
      </c>
      <c r="JT9" s="300" t="s">
        <v>2726</v>
      </c>
      <c r="JU9" s="202">
        <v>10</v>
      </c>
      <c r="JV9" s="204" t="s">
        <v>2686</v>
      </c>
      <c r="JW9" s="286">
        <v>0</v>
      </c>
      <c r="JY9" s="484"/>
      <c r="JZ9" s="414" t="s">
        <v>2810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2813</v>
      </c>
      <c r="KG9" s="320">
        <v>64875.360000000001</v>
      </c>
      <c r="KH9" s="340" t="s">
        <v>2866</v>
      </c>
      <c r="KI9" s="320">
        <v>4053</v>
      </c>
      <c r="KJ9" s="474" t="s">
        <v>2915</v>
      </c>
      <c r="KK9" s="395">
        <v>1.77</v>
      </c>
      <c r="KL9" s="300" t="s">
        <v>2914</v>
      </c>
      <c r="KM9" s="340">
        <v>79.72</v>
      </c>
      <c r="KN9" s="487" t="s">
        <v>2960</v>
      </c>
      <c r="KO9" s="451">
        <f>SUM(KN5:KN8)</f>
        <v>197000</v>
      </c>
      <c r="KP9" s="340" t="s">
        <v>2805</v>
      </c>
      <c r="KQ9" s="395">
        <f>72.67+1.57</f>
        <v>74.239999999999995</v>
      </c>
      <c r="KR9" s="300" t="s">
        <v>2985</v>
      </c>
      <c r="KS9" s="340">
        <v>487</v>
      </c>
      <c r="KT9" s="449">
        <v>20000</v>
      </c>
      <c r="KU9" s="450">
        <v>45412</v>
      </c>
      <c r="KV9" s="583" t="s">
        <v>3050</v>
      </c>
      <c r="KW9" s="331">
        <v>3129.11</v>
      </c>
      <c r="KX9" s="300" t="s">
        <v>3056</v>
      </c>
      <c r="KY9" s="340">
        <f>11+4</f>
        <v>15</v>
      </c>
      <c r="KZ9" s="340" t="s">
        <v>2972</v>
      </c>
      <c r="LA9" s="259">
        <v>-119500</v>
      </c>
      <c r="LB9" s="616" t="s">
        <v>2805</v>
      </c>
      <c r="LC9" s="395">
        <v>61.000999999999998</v>
      </c>
      <c r="LD9" s="443" t="s">
        <v>2072</v>
      </c>
      <c r="LE9" s="441">
        <v>291.25</v>
      </c>
      <c r="LF9" s="614" t="s">
        <v>2961</v>
      </c>
      <c r="LG9" s="318">
        <v>-82000</v>
      </c>
      <c r="LH9" s="669" t="s">
        <v>3168</v>
      </c>
      <c r="LI9" s="630">
        <v>793.69</v>
      </c>
      <c r="LJ9" s="443" t="s">
        <v>2468</v>
      </c>
      <c r="LK9" s="441">
        <v>378.81</v>
      </c>
      <c r="LL9" s="652" t="s">
        <v>2961</v>
      </c>
      <c r="LM9" s="318">
        <v>-88000</v>
      </c>
      <c r="LN9" s="690" t="s">
        <v>3264</v>
      </c>
      <c r="LO9" s="698">
        <v>10967.27</v>
      </c>
      <c r="LP9" s="442" t="s">
        <v>3247</v>
      </c>
      <c r="LQ9" s="202">
        <v>1000.01</v>
      </c>
      <c r="LR9" s="679" t="s">
        <v>3279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3226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2546</v>
      </c>
      <c r="IW10" s="488">
        <v>2000</v>
      </c>
      <c r="IX10" s="340" t="s">
        <v>2358</v>
      </c>
      <c r="IY10" s="259">
        <v>360000</v>
      </c>
      <c r="JA10" s="320"/>
      <c r="JB10" s="313" t="s">
        <v>2579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2650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2705</v>
      </c>
      <c r="JS10" s="340">
        <v>3.4</v>
      </c>
      <c r="JT10" s="300" t="s">
        <v>2716</v>
      </c>
      <c r="JU10" s="335">
        <v>5.38</v>
      </c>
      <c r="JV10" s="285" t="s">
        <v>1627</v>
      </c>
      <c r="JW10" s="318">
        <v>-123</v>
      </c>
      <c r="JX10" s="340" t="s">
        <v>2793</v>
      </c>
      <c r="JY10" s="331"/>
      <c r="JZ10" s="313" t="s">
        <v>2820</v>
      </c>
      <c r="KA10" s="202">
        <v>5.99</v>
      </c>
      <c r="KB10" s="204" t="s">
        <v>2785</v>
      </c>
      <c r="KC10" s="464">
        <v>-166</v>
      </c>
      <c r="KD10" s="340" t="s">
        <v>2793</v>
      </c>
      <c r="KE10" s="331"/>
      <c r="KF10" s="243" t="s">
        <v>2812</v>
      </c>
      <c r="KG10" s="320">
        <f>136363-KG12</f>
        <v>136169.60999999999</v>
      </c>
      <c r="KH10" s="340" t="s">
        <v>2873</v>
      </c>
      <c r="KI10" s="320"/>
      <c r="KK10" s="320"/>
      <c r="KL10" s="254" t="s">
        <v>2973</v>
      </c>
      <c r="KM10" s="340">
        <f>82.58+102.97</f>
        <v>185.55</v>
      </c>
      <c r="KN10" s="340" t="s">
        <v>2869</v>
      </c>
      <c r="KO10" s="259">
        <v>-70600</v>
      </c>
      <c r="KP10" s="204" t="s">
        <v>3214</v>
      </c>
      <c r="KQ10" s="395">
        <v>35.14</v>
      </c>
      <c r="KR10" s="300" t="s">
        <v>3023</v>
      </c>
      <c r="KS10" s="340">
        <v>6.48</v>
      </c>
      <c r="KT10" s="487" t="s">
        <v>2960</v>
      </c>
      <c r="KU10" s="451">
        <f>SUM(KT4:KT9)</f>
        <v>247000</v>
      </c>
      <c r="KV10" s="340" t="s">
        <v>2805</v>
      </c>
      <c r="KW10" s="395">
        <v>73</v>
      </c>
      <c r="KX10" s="300" t="s">
        <v>3057</v>
      </c>
      <c r="KY10" s="204">
        <v>20</v>
      </c>
      <c r="KZ10" s="285" t="s">
        <v>2961</v>
      </c>
      <c r="LA10" s="318">
        <v>-82000</v>
      </c>
      <c r="LB10" s="617" t="s">
        <v>3212</v>
      </c>
      <c r="LC10" s="395">
        <v>26.18</v>
      </c>
      <c r="LD10" s="443" t="s">
        <v>3154</v>
      </c>
      <c r="LE10" s="441">
        <v>119.42</v>
      </c>
      <c r="LF10" s="618" t="s">
        <v>2549</v>
      </c>
      <c r="LG10" s="259">
        <v>-4000</v>
      </c>
      <c r="LH10" s="669" t="s">
        <v>3172</v>
      </c>
      <c r="LI10" s="630">
        <v>793.69</v>
      </c>
      <c r="LJ10" s="300" t="s">
        <v>3057</v>
      </c>
      <c r="LK10" s="630">
        <v>30</v>
      </c>
      <c r="LL10" s="653" t="s">
        <v>2549</v>
      </c>
      <c r="LM10" s="259">
        <v>-4000</v>
      </c>
      <c r="LN10" s="691" t="s">
        <v>3238</v>
      </c>
      <c r="LO10" s="512">
        <v>-10184.01</v>
      </c>
      <c r="LP10" s="443" t="s">
        <v>3245</v>
      </c>
      <c r="LQ10" s="202">
        <v>136.5</v>
      </c>
      <c r="LR10" s="688" t="s">
        <v>3224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2651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2650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2559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2695</v>
      </c>
      <c r="JO11" s="320">
        <v>1396.9</v>
      </c>
      <c r="JP11" s="285" t="s">
        <v>1627</v>
      </c>
      <c r="JQ11" s="318">
        <v>-1063</v>
      </c>
      <c r="JR11" s="482" t="s">
        <v>2722</v>
      </c>
      <c r="JS11" s="320">
        <v>1.21</v>
      </c>
      <c r="JT11" s="243" t="s">
        <v>2695</v>
      </c>
      <c r="JU11" s="320">
        <v>1371.77</v>
      </c>
      <c r="JV11" s="204" t="s">
        <v>2643</v>
      </c>
      <c r="JW11" s="259">
        <v>2600</v>
      </c>
      <c r="JX11" s="340" t="s">
        <v>2781</v>
      </c>
      <c r="JY11" s="395">
        <f>55.87+0.96</f>
        <v>56.83</v>
      </c>
      <c r="JZ11" s="300" t="s">
        <v>2773</v>
      </c>
      <c r="KA11" s="340">
        <v>29.9</v>
      </c>
      <c r="KB11" s="285" t="s">
        <v>1627</v>
      </c>
      <c r="KC11" s="318">
        <v>-217</v>
      </c>
      <c r="KD11" s="340" t="s">
        <v>2815</v>
      </c>
      <c r="KE11" s="320">
        <f>1.5%*519+1.82</f>
        <v>9.6050000000000004</v>
      </c>
      <c r="KF11" s="299" t="s">
        <v>2867</v>
      </c>
      <c r="KG11" s="320">
        <v>281.16000000000003</v>
      </c>
      <c r="KH11" s="285" t="s">
        <v>2550</v>
      </c>
      <c r="KI11" s="318">
        <v>-82000</v>
      </c>
      <c r="KJ11" s="340" t="s">
        <v>2793</v>
      </c>
      <c r="KK11" s="331"/>
      <c r="KL11" s="254" t="s">
        <v>2933</v>
      </c>
      <c r="KM11" s="441">
        <f>165.2+34.2</f>
        <v>199.39999999999998</v>
      </c>
      <c r="KN11" s="340" t="s">
        <v>2965</v>
      </c>
      <c r="KO11" s="259">
        <v>-127017</v>
      </c>
      <c r="KP11" s="204" t="s">
        <v>3215</v>
      </c>
      <c r="KQ11" s="340">
        <v>200</v>
      </c>
      <c r="KR11" s="584" t="s">
        <v>3011</v>
      </c>
      <c r="KS11" s="441">
        <v>141.03</v>
      </c>
      <c r="KT11" s="340" t="s">
        <v>2869</v>
      </c>
      <c r="KU11" s="259">
        <v>-70600</v>
      </c>
      <c r="KV11" s="588" t="s">
        <v>3216</v>
      </c>
      <c r="KW11" s="395">
        <v>288</v>
      </c>
      <c r="KX11" s="300" t="s">
        <v>3086</v>
      </c>
      <c r="KY11" s="606">
        <v>39.9</v>
      </c>
      <c r="KZ11" s="319" t="s">
        <v>2549</v>
      </c>
      <c r="LA11" s="259">
        <v>-4000</v>
      </c>
      <c r="LB11" s="617" t="s">
        <v>3058</v>
      </c>
      <c r="LC11" s="395">
        <v>5.3</v>
      </c>
      <c r="LD11" s="443" t="s">
        <v>3116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3188</v>
      </c>
      <c r="LK11" s="630">
        <f>517.75+263.25</f>
        <v>781</v>
      </c>
      <c r="LL11" s="653" t="s">
        <v>2429</v>
      </c>
      <c r="LM11" s="259">
        <v>0</v>
      </c>
      <c r="LN11" s="691" t="s">
        <v>3236</v>
      </c>
      <c r="LO11" s="512">
        <v>-37.99</v>
      </c>
      <c r="LP11" s="443" t="s">
        <v>3268</v>
      </c>
      <c r="LQ11" s="261">
        <v>3082.59</v>
      </c>
      <c r="LR11" s="684" t="s">
        <v>2549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2897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2606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2657</v>
      </c>
      <c r="JO12" s="320">
        <v>110000</v>
      </c>
      <c r="JP12" s="204" t="s">
        <v>2643</v>
      </c>
      <c r="JQ12" s="259">
        <v>2600</v>
      </c>
      <c r="JR12" s="482" t="s">
        <v>2721</v>
      </c>
      <c r="JT12" s="243" t="s">
        <v>2696</v>
      </c>
      <c r="JU12" s="320">
        <v>1478.09</v>
      </c>
      <c r="JV12" s="319" t="s">
        <v>2644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2643</v>
      </c>
      <c r="KC12" s="259">
        <v>2600</v>
      </c>
      <c r="KD12" s="340" t="s">
        <v>2857</v>
      </c>
      <c r="KE12" s="395">
        <v>46</v>
      </c>
      <c r="KF12" s="299" t="s">
        <v>2929</v>
      </c>
      <c r="KG12" s="320">
        <v>193.39</v>
      </c>
      <c r="KH12" s="319" t="s">
        <v>2549</v>
      </c>
      <c r="KI12" s="259">
        <v>-4000</v>
      </c>
      <c r="KJ12" s="340" t="s">
        <v>2815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2942</v>
      </c>
      <c r="KP12" s="217"/>
      <c r="KQ12" s="395"/>
      <c r="KR12" s="300" t="s">
        <v>3034</v>
      </c>
      <c r="KS12" s="204">
        <v>15.2</v>
      </c>
      <c r="KT12" s="340" t="s">
        <v>2972</v>
      </c>
      <c r="KU12" s="259">
        <v>-123206</v>
      </c>
      <c r="KV12" s="204" t="s">
        <v>3213</v>
      </c>
      <c r="KW12" s="395">
        <f>32.02+3.51</f>
        <v>35.53</v>
      </c>
      <c r="KX12" s="300" t="s">
        <v>3080</v>
      </c>
      <c r="KY12" s="606">
        <v>113.21</v>
      </c>
      <c r="KZ12" s="319" t="s">
        <v>2974</v>
      </c>
      <c r="LA12" s="259">
        <v>1548</v>
      </c>
      <c r="LB12" s="642" t="s">
        <v>3149</v>
      </c>
      <c r="LC12" s="395">
        <v>10</v>
      </c>
      <c r="LD12" s="443" t="s">
        <v>2356</v>
      </c>
      <c r="LE12" s="240">
        <v>3200</v>
      </c>
      <c r="LF12" s="618" t="s">
        <v>3051</v>
      </c>
      <c r="LG12" s="259">
        <v>209004</v>
      </c>
      <c r="LH12" s="648" t="s">
        <v>3048</v>
      </c>
      <c r="LI12" s="320"/>
      <c r="LJ12" s="300" t="s">
        <v>3182</v>
      </c>
      <c r="LK12" s="630">
        <v>9.5</v>
      </c>
      <c r="LL12" s="653" t="s">
        <v>3051</v>
      </c>
      <c r="LM12" s="259">
        <v>132010</v>
      </c>
      <c r="LN12" s="691" t="s">
        <v>3237</v>
      </c>
      <c r="LO12" s="512">
        <v>-21.1</v>
      </c>
      <c r="LP12" s="300" t="s">
        <v>3223</v>
      </c>
      <c r="LQ12" s="261">
        <v>30</v>
      </c>
      <c r="LR12" s="683" t="s">
        <v>2961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2567</v>
      </c>
      <c r="JC13" s="335">
        <f>80-40</f>
        <v>40</v>
      </c>
      <c r="JD13" s="204" t="s">
        <v>1834</v>
      </c>
      <c r="JE13" s="334">
        <v>2600</v>
      </c>
      <c r="JF13" s="340" t="s">
        <v>2735</v>
      </c>
      <c r="JG13" s="320">
        <v>22.41</v>
      </c>
      <c r="JH13" s="243" t="s">
        <v>2621</v>
      </c>
      <c r="JI13" s="495"/>
      <c r="JJ13" s="204" t="s">
        <v>1834</v>
      </c>
      <c r="JK13" s="259">
        <v>2600</v>
      </c>
      <c r="JL13" s="217" t="s">
        <v>2736</v>
      </c>
      <c r="JM13" s="395">
        <v>5.9</v>
      </c>
      <c r="JN13" s="243" t="s">
        <v>2868</v>
      </c>
      <c r="JO13" s="240">
        <f>JO14*4</f>
        <v>5080.7519999999995</v>
      </c>
      <c r="JP13" s="319" t="s">
        <v>2644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2645</v>
      </c>
      <c r="JW13" s="259">
        <v>597</v>
      </c>
      <c r="JX13" s="217" t="s">
        <v>2760</v>
      </c>
      <c r="JY13" s="395">
        <v>7.95</v>
      </c>
      <c r="JZ13" s="300" t="s">
        <v>2750</v>
      </c>
      <c r="KA13" s="202">
        <v>2062.8000000000002</v>
      </c>
      <c r="KB13" s="319" t="s">
        <v>2644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2816</v>
      </c>
      <c r="KI13" s="318">
        <v>366011</v>
      </c>
      <c r="KJ13" s="340" t="s">
        <v>2805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2961</v>
      </c>
      <c r="KO13" s="318">
        <v>-82000</v>
      </c>
      <c r="KP13" s="340" t="s">
        <v>2792</v>
      </c>
      <c r="KQ13" s="395"/>
      <c r="KR13" s="300" t="s">
        <v>3025</v>
      </c>
      <c r="KS13" s="340">
        <v>43.2</v>
      </c>
      <c r="KT13" s="285" t="s">
        <v>2961</v>
      </c>
      <c r="KU13" s="318">
        <v>-82000</v>
      </c>
      <c r="KV13" s="591" t="s">
        <v>3058</v>
      </c>
      <c r="KW13" s="395">
        <v>15</v>
      </c>
      <c r="KX13" s="300" t="s">
        <v>3087</v>
      </c>
      <c r="KY13" s="593">
        <v>91.22</v>
      </c>
      <c r="KZ13" s="592" t="s">
        <v>2429</v>
      </c>
      <c r="LA13" s="259">
        <v>1</v>
      </c>
      <c r="LB13" s="612" t="s">
        <v>2806</v>
      </c>
      <c r="LC13" s="612"/>
      <c r="LD13" s="300" t="s">
        <v>3117</v>
      </c>
      <c r="LE13" s="630">
        <v>734.4</v>
      </c>
      <c r="LF13" s="618" t="s">
        <v>2876</v>
      </c>
      <c r="LG13" s="259">
        <v>101429</v>
      </c>
      <c r="LH13" s="648" t="s">
        <v>3217</v>
      </c>
      <c r="LI13" s="395">
        <v>52.000999999999998</v>
      </c>
      <c r="LJ13" s="300" t="s">
        <v>3192</v>
      </c>
      <c r="LK13" s="630">
        <v>79</v>
      </c>
      <c r="LL13" s="653" t="s">
        <v>2876</v>
      </c>
      <c r="LM13" s="259">
        <v>101434</v>
      </c>
      <c r="LN13" s="692" t="s">
        <v>3239</v>
      </c>
      <c r="LO13" s="693">
        <v>-28.82</v>
      </c>
      <c r="LP13" s="300" t="s">
        <v>3229</v>
      </c>
      <c r="LQ13" s="261">
        <f>1021.88+238.15</f>
        <v>1260.03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71" t="s">
        <v>1501</v>
      </c>
      <c r="DP14" s="772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6" t="s">
        <v>2146</v>
      </c>
      <c r="HK14" s="766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3040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2566</v>
      </c>
      <c r="JC14" s="331">
        <v>26.001000000000001</v>
      </c>
      <c r="JD14" s="319" t="s">
        <v>1502</v>
      </c>
      <c r="JE14" s="259">
        <v>635</v>
      </c>
      <c r="JF14" s="340" t="s">
        <v>2610</v>
      </c>
      <c r="JG14" s="320">
        <v>118.15</v>
      </c>
      <c r="JH14" s="243" t="s">
        <v>2656</v>
      </c>
      <c r="JI14" s="320">
        <v>1422.53</v>
      </c>
      <c r="JJ14" s="319" t="s">
        <v>1502</v>
      </c>
      <c r="JK14" s="259">
        <v>966</v>
      </c>
      <c r="JL14" s="217" t="s">
        <v>2737</v>
      </c>
      <c r="JM14" s="395"/>
      <c r="JN14" s="299" t="s">
        <v>2676</v>
      </c>
      <c r="JO14" s="240">
        <f>(3175.47/5)*2</f>
        <v>1270.1879999999999</v>
      </c>
      <c r="JP14" s="319" t="s">
        <v>2645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2774</v>
      </c>
      <c r="JU14" s="240">
        <f>(3175.47/5)</f>
        <v>635.09399999999994</v>
      </c>
      <c r="JV14" s="319" t="s">
        <v>2646</v>
      </c>
      <c r="JW14" s="259">
        <v>561</v>
      </c>
      <c r="JX14" s="217" t="s">
        <v>2776</v>
      </c>
      <c r="JY14" s="395"/>
      <c r="JZ14" s="300" t="s">
        <v>2559</v>
      </c>
      <c r="KA14" s="340">
        <f>259.2+410.4</f>
        <v>669.59999999999991</v>
      </c>
      <c r="KB14" s="319" t="s">
        <v>2645</v>
      </c>
      <c r="KC14" s="334">
        <v>1438</v>
      </c>
      <c r="KD14" s="217" t="s">
        <v>2760</v>
      </c>
      <c r="KE14" s="395"/>
      <c r="KF14" s="299" t="s">
        <v>2507</v>
      </c>
      <c r="KG14" s="274">
        <v>131.87</v>
      </c>
      <c r="KH14" s="319" t="s">
        <v>2876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2549</v>
      </c>
      <c r="KO14" s="259">
        <v>-4000</v>
      </c>
      <c r="KP14" s="285" t="s">
        <v>2993</v>
      </c>
      <c r="KQ14" s="395">
        <f>205.48+73.97+65.75</f>
        <v>345.2</v>
      </c>
      <c r="KR14" s="254" t="s">
        <v>3010</v>
      </c>
      <c r="KS14" s="204">
        <v>3.33</v>
      </c>
      <c r="KT14" s="319" t="s">
        <v>2549</v>
      </c>
      <c r="KU14" s="259">
        <v>-4000</v>
      </c>
      <c r="KV14" s="340" t="s">
        <v>1795</v>
      </c>
      <c r="KW14" s="395">
        <v>13.96</v>
      </c>
      <c r="KX14" s="254" t="s">
        <v>3078</v>
      </c>
      <c r="KY14" s="593">
        <f>221.76+48.93</f>
        <v>270.69</v>
      </c>
      <c r="KZ14" s="587" t="s">
        <v>3051</v>
      </c>
      <c r="LA14" s="259">
        <v>233004</v>
      </c>
      <c r="LB14" s="217"/>
      <c r="LC14" s="395"/>
      <c r="LD14" s="300" t="s">
        <v>3118</v>
      </c>
      <c r="LE14" s="630">
        <f>3.06*0</f>
        <v>0</v>
      </c>
      <c r="LF14" s="620" t="s">
        <v>2848</v>
      </c>
      <c r="LG14" s="357"/>
      <c r="LH14" s="649" t="s">
        <v>3211</v>
      </c>
      <c r="LI14" s="395">
        <v>10.24</v>
      </c>
      <c r="LJ14" s="300" t="s">
        <v>3196</v>
      </c>
      <c r="LK14" s="630">
        <v>21.2</v>
      </c>
      <c r="LL14" s="651" t="s">
        <v>2848</v>
      </c>
      <c r="LM14" s="357"/>
      <c r="LN14" s="679" t="s">
        <v>3048</v>
      </c>
      <c r="LO14" s="395"/>
      <c r="LP14" s="300" t="s">
        <v>3250</v>
      </c>
      <c r="LQ14" s="261">
        <v>38.380000000000003</v>
      </c>
      <c r="LR14" s="684" t="s">
        <v>3228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2876</v>
      </c>
      <c r="JG15" s="340">
        <f>6.24+2.24</f>
        <v>8.48</v>
      </c>
      <c r="JH15" s="312" t="s">
        <v>2607</v>
      </c>
      <c r="JI15" s="320">
        <v>155000</v>
      </c>
      <c r="JJ15" s="319" t="s">
        <v>1503</v>
      </c>
      <c r="JK15" s="259">
        <v>1556</v>
      </c>
      <c r="JL15" s="340" t="s">
        <v>2877</v>
      </c>
      <c r="JM15" s="327">
        <v>1.96</v>
      </c>
      <c r="JN15" s="299" t="s">
        <v>2456</v>
      </c>
      <c r="JO15" s="202">
        <v>53.91</v>
      </c>
      <c r="JP15" s="319" t="s">
        <v>2646</v>
      </c>
      <c r="JQ15" s="259">
        <v>76</v>
      </c>
      <c r="JR15" s="340" t="s">
        <v>2684</v>
      </c>
      <c r="JS15" s="395">
        <v>200</v>
      </c>
      <c r="JT15" s="299" t="s">
        <v>2456</v>
      </c>
      <c r="JU15" s="202">
        <v>75.430000000000007</v>
      </c>
      <c r="JV15" s="319" t="s">
        <v>2898</v>
      </c>
      <c r="JW15" s="259">
        <v>2151</v>
      </c>
      <c r="JX15" s="217"/>
      <c r="JY15" s="395"/>
      <c r="JZ15" s="300" t="s">
        <v>2751</v>
      </c>
      <c r="KA15" s="340">
        <v>10</v>
      </c>
      <c r="KB15" s="319" t="s">
        <v>2876</v>
      </c>
      <c r="KC15" s="259">
        <v>100491</v>
      </c>
      <c r="KD15" s="791" t="s">
        <v>2806</v>
      </c>
      <c r="KE15" s="791"/>
      <c r="KF15" s="299" t="s">
        <v>1192</v>
      </c>
      <c r="KG15" s="202">
        <f>10+6.5+15</f>
        <v>31.5</v>
      </c>
      <c r="KH15" s="325" t="s">
        <v>2848</v>
      </c>
      <c r="KI15" s="357"/>
      <c r="KJ15" s="340" t="s">
        <v>2792</v>
      </c>
      <c r="KK15" s="395"/>
      <c r="KL15" s="243" t="s">
        <v>2910</v>
      </c>
      <c r="KM15" s="320">
        <v>50065.8</v>
      </c>
      <c r="KN15" s="204" t="s">
        <v>2816</v>
      </c>
      <c r="KO15" s="318">
        <v>199006</v>
      </c>
      <c r="KP15" s="217" t="s">
        <v>2976</v>
      </c>
      <c r="KQ15" s="395">
        <f>1.52</f>
        <v>1.52</v>
      </c>
      <c r="KR15" s="254" t="s">
        <v>2413</v>
      </c>
      <c r="KS15" s="204">
        <v>194.04</v>
      </c>
      <c r="KT15" s="319" t="s">
        <v>2974</v>
      </c>
      <c r="KU15" s="259">
        <v>0</v>
      </c>
      <c r="KV15" s="217" t="s">
        <v>2760</v>
      </c>
      <c r="KW15" s="395"/>
      <c r="KX15" s="254" t="s">
        <v>3104</v>
      </c>
      <c r="KY15" s="606">
        <v>49.7</v>
      </c>
      <c r="KZ15" s="319" t="s">
        <v>2876</v>
      </c>
      <c r="LA15" s="259">
        <v>101577</v>
      </c>
      <c r="LB15" s="616" t="s">
        <v>2792</v>
      </c>
      <c r="LC15" s="395"/>
      <c r="LD15" s="300" t="s">
        <v>3086</v>
      </c>
      <c r="LE15" s="630">
        <v>14.9</v>
      </c>
      <c r="LF15" s="614" t="s">
        <v>2963</v>
      </c>
      <c r="LG15" s="318">
        <v>-132</v>
      </c>
      <c r="LH15" s="217" t="s">
        <v>2760</v>
      </c>
      <c r="LI15" s="395">
        <v>9.14</v>
      </c>
      <c r="LJ15" s="300" t="s">
        <v>3195</v>
      </c>
      <c r="LK15" s="630">
        <v>34.380000000000003</v>
      </c>
      <c r="LL15" s="652" t="s">
        <v>2963</v>
      </c>
      <c r="LM15" s="318">
        <v>-76</v>
      </c>
      <c r="LN15" s="679" t="s">
        <v>2805</v>
      </c>
      <c r="LO15" s="395">
        <v>62.000999999999998</v>
      </c>
      <c r="LP15" s="300" t="s">
        <v>3057</v>
      </c>
      <c r="LQ15" s="261">
        <v>20</v>
      </c>
      <c r="LR15" s="684" t="s">
        <v>2876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3225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2555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2637</v>
      </c>
      <c r="JA16" s="320">
        <v>16.05</v>
      </c>
      <c r="JB16" s="243" t="s">
        <v>2504</v>
      </c>
      <c r="JC16" s="240">
        <f>JC17*2</f>
        <v>2116.98</v>
      </c>
      <c r="JD16" s="319" t="s">
        <v>2565</v>
      </c>
      <c r="JE16" s="259">
        <v>89</v>
      </c>
      <c r="JF16" s="499" t="s">
        <v>2593</v>
      </c>
      <c r="JG16" s="327">
        <v>379.39</v>
      </c>
      <c r="JH16" s="299" t="s">
        <v>2615</v>
      </c>
      <c r="JI16" s="202" t="s">
        <v>657</v>
      </c>
      <c r="JJ16" s="319" t="s">
        <v>2565</v>
      </c>
      <c r="JK16" s="259">
        <v>4000</v>
      </c>
      <c r="JL16" s="340" t="s">
        <v>2885</v>
      </c>
      <c r="JM16" s="202">
        <f>25.72</f>
        <v>25.72</v>
      </c>
      <c r="JN16" s="299" t="s">
        <v>2577</v>
      </c>
      <c r="JO16" s="202">
        <v>23.96</v>
      </c>
      <c r="JP16" s="319" t="s">
        <v>2898</v>
      </c>
      <c r="JQ16" s="357">
        <v>2441</v>
      </c>
      <c r="JR16" s="340" t="s">
        <v>2704</v>
      </c>
      <c r="JS16" s="395">
        <v>300</v>
      </c>
      <c r="JT16" s="299" t="s">
        <v>2577</v>
      </c>
      <c r="JU16" s="202">
        <v>129.6</v>
      </c>
      <c r="JV16" s="483" t="s">
        <v>2647</v>
      </c>
      <c r="JW16" s="357"/>
      <c r="JX16" s="340" t="s">
        <v>2792</v>
      </c>
      <c r="JY16" s="395"/>
      <c r="JZ16" s="300" t="s">
        <v>2761</v>
      </c>
      <c r="KA16" s="340">
        <f>6.8+7.8</f>
        <v>14.6</v>
      </c>
      <c r="KB16" s="483" t="s">
        <v>2757</v>
      </c>
      <c r="KC16" s="357"/>
      <c r="KD16" s="491"/>
      <c r="KE16" s="491"/>
      <c r="KF16" s="299" t="s">
        <v>2652</v>
      </c>
      <c r="KG16" s="202">
        <f>14.32+18</f>
        <v>32.32</v>
      </c>
      <c r="KH16" s="285" t="s">
        <v>2847</v>
      </c>
      <c r="KI16" s="341">
        <v>30</v>
      </c>
      <c r="KJ16" s="217" t="s">
        <v>2943</v>
      </c>
      <c r="KK16" s="395">
        <f>7.87+11.3</f>
        <v>19.170000000000002</v>
      </c>
      <c r="KL16" s="243" t="s">
        <v>2865</v>
      </c>
      <c r="KM16" s="320">
        <f>KM19*9</f>
        <v>1272.2760000000001</v>
      </c>
      <c r="KN16" s="319" t="s">
        <v>2876</v>
      </c>
      <c r="KO16" s="259">
        <v>100842</v>
      </c>
      <c r="KP16" s="204" t="s">
        <v>2998</v>
      </c>
      <c r="KQ16" s="340">
        <f>30000*(1-0.9807)</f>
        <v>578.99999999999955</v>
      </c>
      <c r="KR16" s="254" t="s">
        <v>3022</v>
      </c>
      <c r="KS16" s="204">
        <f>111.95+16.63</f>
        <v>128.58000000000001</v>
      </c>
      <c r="KT16" s="319" t="s">
        <v>2876</v>
      </c>
      <c r="KU16" s="259">
        <v>101064</v>
      </c>
      <c r="KV16" s="491" t="s">
        <v>2806</v>
      </c>
      <c r="KW16" s="491"/>
      <c r="KX16" s="254" t="s">
        <v>3079</v>
      </c>
      <c r="KY16" s="606">
        <f>82.2+45.07</f>
        <v>127.27000000000001</v>
      </c>
      <c r="KZ16" s="325" t="s">
        <v>2848</v>
      </c>
      <c r="LA16" s="357"/>
      <c r="LB16" s="614" t="s">
        <v>3037</v>
      </c>
      <c r="LC16" s="395">
        <f>205.48+73.97+65.75+0.51</f>
        <v>345.71</v>
      </c>
      <c r="LD16" s="300" t="s">
        <v>3137</v>
      </c>
      <c r="LE16" s="630">
        <v>69.900000000000006</v>
      </c>
      <c r="LF16" s="620" t="s">
        <v>3045</v>
      </c>
      <c r="LG16" s="464">
        <v>10</v>
      </c>
      <c r="LH16" s="655" t="s">
        <v>2806</v>
      </c>
      <c r="LI16" s="655"/>
      <c r="LJ16" s="300" t="s">
        <v>3189</v>
      </c>
      <c r="LK16" s="630">
        <v>50</v>
      </c>
      <c r="LL16" s="651" t="s">
        <v>3045</v>
      </c>
      <c r="LM16" s="464">
        <v>11</v>
      </c>
      <c r="LN16" s="680" t="s">
        <v>3244</v>
      </c>
      <c r="LO16" s="395">
        <v>164.85</v>
      </c>
      <c r="LP16" s="256" t="s">
        <v>2489</v>
      </c>
      <c r="LQ16" s="261">
        <v>112.57</v>
      </c>
      <c r="LR16" s="682" t="s">
        <v>2848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2876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2594</v>
      </c>
      <c r="JG17" s="340">
        <v>442.61</v>
      </c>
      <c r="JH17" s="299" t="s">
        <v>2561</v>
      </c>
      <c r="JI17" s="202">
        <v>59.36</v>
      </c>
      <c r="JJ17" s="319" t="s">
        <v>2591</v>
      </c>
      <c r="JK17" s="259">
        <f>25000.29+90000.29+140000.29+10000</f>
        <v>265000.87</v>
      </c>
      <c r="JL17" s="340" t="s">
        <v>2886</v>
      </c>
      <c r="JM17" s="202">
        <f>180.39+64.94+57.72</f>
        <v>303.04999999999995</v>
      </c>
      <c r="JN17" s="299" t="s">
        <v>2899</v>
      </c>
      <c r="JO17" s="202">
        <v>30</v>
      </c>
      <c r="JP17" s="483" t="s">
        <v>2647</v>
      </c>
      <c r="JQ17" s="357"/>
      <c r="JR17" s="340" t="s">
        <v>2877</v>
      </c>
      <c r="JS17" s="395">
        <v>2.95</v>
      </c>
      <c r="JT17" s="299" t="s">
        <v>2718</v>
      </c>
      <c r="JU17" s="274">
        <v>131.6</v>
      </c>
      <c r="JV17" s="319" t="s">
        <v>2648</v>
      </c>
      <c r="JW17" s="259">
        <v>0</v>
      </c>
      <c r="JX17" s="217" t="s">
        <v>2749</v>
      </c>
      <c r="JY17" s="395">
        <f>1.29+1.15</f>
        <v>2.44</v>
      </c>
      <c r="JZ17" s="300" t="s">
        <v>2753</v>
      </c>
      <c r="KA17" s="340">
        <f>73.44/2</f>
        <v>36.72</v>
      </c>
      <c r="KB17" s="319" t="s">
        <v>2648</v>
      </c>
      <c r="KC17" s="259">
        <v>0</v>
      </c>
      <c r="KD17" s="340" t="s">
        <v>2792</v>
      </c>
      <c r="KE17" s="395"/>
      <c r="KF17" s="299" t="s">
        <v>2900</v>
      </c>
      <c r="KG17" s="202">
        <v>180</v>
      </c>
      <c r="KH17" s="204" t="s">
        <v>2849</v>
      </c>
      <c r="KI17" s="464">
        <f>686-1000</f>
        <v>-314</v>
      </c>
      <c r="KJ17" s="217" t="s">
        <v>2429</v>
      </c>
      <c r="KK17" s="395">
        <v>7.97</v>
      </c>
      <c r="KL17" s="328" t="s">
        <v>2935</v>
      </c>
      <c r="KM17" s="320">
        <f>1388.33-KM18</f>
        <v>1240.58</v>
      </c>
      <c r="KN17" s="319" t="s">
        <v>2959</v>
      </c>
      <c r="KO17" s="259">
        <v>129000</v>
      </c>
      <c r="KP17" s="204" t="s">
        <v>3013</v>
      </c>
      <c r="KQ17" s="340">
        <f>20000*(1-0.9803)</f>
        <v>394.00000000000102</v>
      </c>
      <c r="KR17" s="243" t="s">
        <v>2970</v>
      </c>
      <c r="KS17" s="320">
        <f>1363.36-KS18</f>
        <v>1223.29</v>
      </c>
      <c r="KT17" s="319" t="s">
        <v>2959</v>
      </c>
      <c r="KU17" s="259">
        <v>199369</v>
      </c>
      <c r="KV17" s="217"/>
      <c r="KW17" s="395"/>
      <c r="KX17" s="254" t="s">
        <v>3094</v>
      </c>
      <c r="KY17" s="610">
        <v>52.42</v>
      </c>
      <c r="KZ17" s="285" t="s">
        <v>2963</v>
      </c>
      <c r="LA17" s="318">
        <v>-143</v>
      </c>
      <c r="LB17" s="217" t="s">
        <v>2976</v>
      </c>
      <c r="LC17" s="395">
        <f>33.25+1.5</f>
        <v>34.75</v>
      </c>
      <c r="LD17" s="300" t="s">
        <v>3056</v>
      </c>
      <c r="LE17" s="617">
        <f>5+1.69</f>
        <v>6.6899999999999995</v>
      </c>
      <c r="LF17" s="657" t="s">
        <v>3159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3159</v>
      </c>
      <c r="LM17" s="259">
        <v>-11827</v>
      </c>
      <c r="LN17" s="680" t="s">
        <v>3058</v>
      </c>
      <c r="LO17" s="395">
        <v>3</v>
      </c>
      <c r="LP17" s="256" t="s">
        <v>1966</v>
      </c>
      <c r="LQ17" s="261">
        <f>38.8+16.8</f>
        <v>55.599999999999994</v>
      </c>
      <c r="LR17" s="683" t="s">
        <v>2963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71" t="s">
        <v>1471</v>
      </c>
      <c r="DJ18" s="772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2876</v>
      </c>
      <c r="IO18" s="340">
        <v>3</v>
      </c>
      <c r="IP18" s="299" t="s">
        <v>2396</v>
      </c>
      <c r="IQ18" s="202">
        <v>42.65</v>
      </c>
      <c r="IR18" s="319" t="s">
        <v>2876</v>
      </c>
      <c r="IS18" s="259">
        <v>1143</v>
      </c>
      <c r="IT18" s="340" t="s">
        <v>2637</v>
      </c>
      <c r="IU18" s="320">
        <v>14</v>
      </c>
      <c r="IV18" s="299" t="s">
        <v>2509</v>
      </c>
      <c r="IW18" s="274">
        <v>110.02</v>
      </c>
      <c r="IX18" s="319" t="s">
        <v>2905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2884</v>
      </c>
      <c r="JE18" s="357">
        <v>3083</v>
      </c>
      <c r="JF18" s="499"/>
      <c r="JG18" s="327"/>
      <c r="JH18" s="299" t="s">
        <v>2879</v>
      </c>
      <c r="JI18" s="202">
        <v>30</v>
      </c>
      <c r="JJ18" s="319" t="s">
        <v>2884</v>
      </c>
      <c r="JK18" s="259">
        <v>99936</v>
      </c>
      <c r="JL18" s="499" t="s">
        <v>2668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2648</v>
      </c>
      <c r="JQ18" s="259">
        <v>0</v>
      </c>
      <c r="JR18" s="509" t="s">
        <v>2885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2560</v>
      </c>
      <c r="JW18" s="259">
        <v>15</v>
      </c>
      <c r="JX18" s="217" t="s">
        <v>2734</v>
      </c>
      <c r="JY18" s="395">
        <f>65.16+2.55</f>
        <v>67.709999999999994</v>
      </c>
      <c r="JZ18" s="300" t="s">
        <v>2796</v>
      </c>
      <c r="KA18" s="202">
        <v>5.01</v>
      </c>
      <c r="KB18" s="319" t="s">
        <v>2560</v>
      </c>
      <c r="KC18" s="259">
        <v>14</v>
      </c>
      <c r="KD18" s="217" t="s">
        <v>2734</v>
      </c>
      <c r="KE18" s="395">
        <v>92.26</v>
      </c>
      <c r="KF18" s="299" t="s">
        <v>2702</v>
      </c>
      <c r="KG18" s="202">
        <v>10.8</v>
      </c>
      <c r="KH18" s="204" t="s">
        <v>2859</v>
      </c>
      <c r="KI18" s="464"/>
      <c r="KJ18" s="217" t="s">
        <v>2911</v>
      </c>
      <c r="KK18" s="395">
        <v>12.01</v>
      </c>
      <c r="KL18" s="444" t="s">
        <v>2941</v>
      </c>
      <c r="KM18" s="326">
        <v>147.75</v>
      </c>
      <c r="KN18" s="325" t="s">
        <v>2848</v>
      </c>
      <c r="KO18" s="357"/>
      <c r="KP18" s="217" t="s">
        <v>2995</v>
      </c>
      <c r="KQ18" s="327">
        <v>939.02</v>
      </c>
      <c r="KR18" s="143" t="s">
        <v>2971</v>
      </c>
      <c r="KS18" s="326">
        <v>140.07</v>
      </c>
      <c r="KT18" s="325" t="s">
        <v>2848</v>
      </c>
      <c r="KU18" s="357"/>
      <c r="KV18" s="340" t="s">
        <v>2792</v>
      </c>
      <c r="KW18" s="395"/>
      <c r="KX18" s="254" t="s">
        <v>3103</v>
      </c>
      <c r="KY18" s="606">
        <v>32</v>
      </c>
      <c r="KZ18" s="549" t="s">
        <v>3045</v>
      </c>
      <c r="LA18" s="464">
        <v>-78.540000000000006</v>
      </c>
      <c r="LB18" s="617" t="s">
        <v>3106</v>
      </c>
      <c r="LC18" s="616">
        <v>32.479999999999997</v>
      </c>
      <c r="LD18" s="254" t="s">
        <v>3115</v>
      </c>
      <c r="LE18" s="629">
        <v>51.99</v>
      </c>
      <c r="LF18" s="440">
        <v>192373</v>
      </c>
      <c r="LG18" s="619"/>
      <c r="LH18" s="648" t="s">
        <v>2792</v>
      </c>
      <c r="LI18" s="395"/>
      <c r="LJ18" s="256" t="s">
        <v>3185</v>
      </c>
      <c r="LK18" s="672">
        <v>66</v>
      </c>
      <c r="LL18" s="440">
        <v>176526</v>
      </c>
      <c r="LM18" s="650"/>
      <c r="LN18" s="687" t="s">
        <v>3221</v>
      </c>
      <c r="LO18" s="395">
        <v>36</v>
      </c>
      <c r="LP18" s="243" t="s">
        <v>3255</v>
      </c>
      <c r="LQ18" s="679">
        <v>2000</v>
      </c>
      <c r="LR18" s="680" t="s">
        <v>3159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2883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2637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2577</v>
      </c>
      <c r="JC19" s="202">
        <v>109.57</v>
      </c>
      <c r="JD19" s="319" t="s">
        <v>2547</v>
      </c>
      <c r="JE19" s="259">
        <v>0</v>
      </c>
      <c r="JH19" s="299" t="s">
        <v>2507</v>
      </c>
      <c r="JI19" s="274">
        <v>115.37</v>
      </c>
      <c r="JJ19" s="319" t="s">
        <v>2547</v>
      </c>
      <c r="JK19" s="259">
        <v>0</v>
      </c>
      <c r="JL19" s="340" t="s">
        <v>2665</v>
      </c>
      <c r="JM19" s="340">
        <v>2</v>
      </c>
      <c r="JN19" s="299" t="s">
        <v>1192</v>
      </c>
      <c r="JO19" s="202">
        <f>15+6.5+30</f>
        <v>51.5</v>
      </c>
      <c r="JP19" s="319" t="s">
        <v>2560</v>
      </c>
      <c r="JQ19" s="259">
        <v>14</v>
      </c>
      <c r="JR19" s="220" t="s">
        <v>2886</v>
      </c>
      <c r="JS19" s="512">
        <f>183.29+65.98+58.65</f>
        <v>307.91999999999996</v>
      </c>
      <c r="JT19" s="299" t="s">
        <v>2652</v>
      </c>
      <c r="JU19" s="202">
        <f>9+14.32</f>
        <v>23.32</v>
      </c>
      <c r="JV19" s="285" t="s">
        <v>2557</v>
      </c>
      <c r="JW19" s="259">
        <v>240</v>
      </c>
      <c r="JX19" s="217" t="s">
        <v>2794</v>
      </c>
      <c r="JY19" s="395">
        <v>24.55</v>
      </c>
      <c r="JZ19" s="300" t="s">
        <v>2797</v>
      </c>
      <c r="KA19" s="340">
        <v>10.87</v>
      </c>
      <c r="KB19" s="285" t="s">
        <v>2557</v>
      </c>
      <c r="KC19" s="259">
        <v>220</v>
      </c>
      <c r="KD19" s="217" t="s">
        <v>2795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2886</v>
      </c>
      <c r="KK19" s="395">
        <f>135.77+48.88+27.16</f>
        <v>211.81</v>
      </c>
      <c r="KL19" s="143" t="s">
        <v>2936</v>
      </c>
      <c r="KM19" s="326">
        <f>1413.64/10</f>
        <v>141.364</v>
      </c>
      <c r="KN19" s="285" t="s">
        <v>2962</v>
      </c>
      <c r="KO19" s="341">
        <v>-114.8</v>
      </c>
      <c r="KP19" s="217" t="s">
        <v>2977</v>
      </c>
      <c r="KQ19" s="327">
        <v>14.02</v>
      </c>
      <c r="KR19" s="143" t="s">
        <v>3008</v>
      </c>
      <c r="KS19" s="286">
        <v>170.22</v>
      </c>
      <c r="KT19" s="285" t="s">
        <v>2963</v>
      </c>
      <c r="KU19" s="318">
        <v>-479</v>
      </c>
      <c r="KV19" s="285" t="s">
        <v>3037</v>
      </c>
      <c r="KW19" s="395">
        <f>212.33+76.44+67.94</f>
        <v>356.71</v>
      </c>
      <c r="KX19" s="254" t="s">
        <v>3095</v>
      </c>
      <c r="KY19" s="610">
        <f>466.26+15.92</f>
        <v>482.18</v>
      </c>
      <c r="KZ19" s="204" t="s">
        <v>3017</v>
      </c>
      <c r="LA19" s="259">
        <f>KZ20-0.99*195000</f>
        <v>-1722</v>
      </c>
      <c r="LB19" s="617" t="s">
        <v>3105</v>
      </c>
      <c r="LC19" s="616">
        <v>21.18</v>
      </c>
      <c r="LD19" s="254" t="s">
        <v>3127</v>
      </c>
      <c r="LE19" s="637">
        <v>83.17</v>
      </c>
      <c r="LF19" s="617" t="s">
        <v>2643</v>
      </c>
      <c r="LG19" s="175">
        <v>2600</v>
      </c>
      <c r="LH19" s="652" t="s">
        <v>3203</v>
      </c>
      <c r="LI19" s="395">
        <f>212+76+43</f>
        <v>331</v>
      </c>
      <c r="LJ19" s="256" t="s">
        <v>3187</v>
      </c>
      <c r="LK19" s="630">
        <v>491.7</v>
      </c>
      <c r="LL19" s="649" t="s">
        <v>2643</v>
      </c>
      <c r="LM19" s="259">
        <v>2600</v>
      </c>
      <c r="LN19" s="679" t="s">
        <v>3265</v>
      </c>
      <c r="LO19" s="395"/>
      <c r="LP19" s="243" t="s">
        <v>1859</v>
      </c>
      <c r="LQ19" s="705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2612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2876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2908</v>
      </c>
      <c r="JC20" s="202">
        <f>10+30</f>
        <v>40</v>
      </c>
      <c r="JD20" s="319" t="s">
        <v>2560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2620</v>
      </c>
      <c r="JK20" s="341">
        <v>44.23</v>
      </c>
      <c r="JL20" s="499"/>
      <c r="JM20" s="327"/>
      <c r="JN20" s="299" t="s">
        <v>2652</v>
      </c>
      <c r="JO20" s="202">
        <f>9+14.32</f>
        <v>23.32</v>
      </c>
      <c r="JP20" s="285" t="s">
        <v>2557</v>
      </c>
      <c r="JQ20" s="259">
        <v>210</v>
      </c>
      <c r="JR20" s="220" t="s">
        <v>2691</v>
      </c>
      <c r="JS20" s="517">
        <v>15.42</v>
      </c>
      <c r="JT20" s="299" t="s">
        <v>2628</v>
      </c>
      <c r="JU20" s="202">
        <f>64+64+3</f>
        <v>131</v>
      </c>
      <c r="JV20" s="285" t="s">
        <v>2556</v>
      </c>
      <c r="JW20" s="318"/>
      <c r="JX20" s="217" t="s">
        <v>2783</v>
      </c>
      <c r="JY20" s="395">
        <v>27.05</v>
      </c>
      <c r="JZ20" s="243" t="s">
        <v>2695</v>
      </c>
      <c r="KA20" s="320">
        <v>1347.2</v>
      </c>
      <c r="KB20" s="285" t="s">
        <v>2556</v>
      </c>
      <c r="KC20" s="259"/>
      <c r="KD20" s="217" t="s">
        <v>2888</v>
      </c>
      <c r="KE20" s="395" t="s">
        <v>2858</v>
      </c>
      <c r="KF20" s="297" t="s">
        <v>2845</v>
      </c>
      <c r="KG20" s="202">
        <v>10</v>
      </c>
      <c r="KH20" s="204" t="s">
        <v>2851</v>
      </c>
      <c r="KI20" s="340">
        <f>KH21-0.99*195000</f>
        <v>-242</v>
      </c>
      <c r="KJ20" s="217" t="s">
        <v>2967</v>
      </c>
      <c r="KK20" s="395">
        <v>33</v>
      </c>
      <c r="KL20" s="143" t="s">
        <v>3009</v>
      </c>
      <c r="KM20" s="286">
        <v>198.07</v>
      </c>
      <c r="KN20" s="285" t="s">
        <v>2963</v>
      </c>
      <c r="KO20" s="318">
        <v>-425</v>
      </c>
      <c r="KR20" s="143" t="s">
        <v>2456</v>
      </c>
      <c r="KS20" s="202">
        <v>82.42</v>
      </c>
      <c r="KT20" s="204" t="s">
        <v>3017</v>
      </c>
      <c r="KU20" s="259">
        <f>KT21-0.99*195000</f>
        <v>-468</v>
      </c>
      <c r="KV20" s="217" t="s">
        <v>2976</v>
      </c>
      <c r="KW20" s="395">
        <f>34.33+1.58+0.5</f>
        <v>36.409999999999997</v>
      </c>
      <c r="KX20" s="254" t="s">
        <v>3092</v>
      </c>
      <c r="KY20" s="607">
        <v>20.05</v>
      </c>
      <c r="KZ20" s="440">
        <v>191328</v>
      </c>
      <c r="LA20" s="197"/>
      <c r="LB20" s="633" t="s">
        <v>3123</v>
      </c>
      <c r="LC20" s="327">
        <v>35.44</v>
      </c>
      <c r="LD20" s="243" t="s">
        <v>1831</v>
      </c>
      <c r="LE20" s="320">
        <v>10300</v>
      </c>
      <c r="LF20" s="618" t="s">
        <v>2644</v>
      </c>
      <c r="LG20" s="259">
        <v>843</v>
      </c>
      <c r="LH20" s="217" t="s">
        <v>3174</v>
      </c>
      <c r="LI20" s="395">
        <f>34.38+0.62+0.58</f>
        <v>35.58</v>
      </c>
      <c r="LJ20" s="243" t="s">
        <v>2970</v>
      </c>
      <c r="LK20" s="395">
        <f>1291.31-LK21</f>
        <v>1154.33</v>
      </c>
      <c r="LL20" s="653" t="s">
        <v>2644</v>
      </c>
      <c r="LM20" s="259">
        <v>695</v>
      </c>
      <c r="LN20" s="683" t="s">
        <v>3234</v>
      </c>
      <c r="LO20" s="395">
        <f>212.33+76.44+67.94</f>
        <v>356.71</v>
      </c>
      <c r="LP20" s="143" t="s">
        <v>3280</v>
      </c>
      <c r="LQ20" s="286">
        <v>92.66</v>
      </c>
      <c r="LR20" s="680" t="s">
        <v>2643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7" t="s">
        <v>507</v>
      </c>
      <c r="N21" s="787"/>
      <c r="Q21" s="166" t="s">
        <v>365</v>
      </c>
      <c r="S21" s="787" t="s">
        <v>507</v>
      </c>
      <c r="T21" s="78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2611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2557</v>
      </c>
      <c r="JE21" s="340">
        <v>130</v>
      </c>
      <c r="JF21" s="499"/>
      <c r="JG21" s="327"/>
      <c r="JH21" s="299" t="s">
        <v>2600</v>
      </c>
      <c r="JI21" s="202">
        <v>27</v>
      </c>
      <c r="JJ21" s="319" t="s">
        <v>2560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2556</v>
      </c>
      <c r="JQ21" s="259"/>
      <c r="JR21" s="487" t="s">
        <v>2690</v>
      </c>
      <c r="JS21" s="520">
        <f>783.33+1167.38+1493.5+2179.3</f>
        <v>5623.51</v>
      </c>
      <c r="JT21" s="299" t="s">
        <v>2702</v>
      </c>
      <c r="JU21" s="202">
        <v>6.97</v>
      </c>
      <c r="JV21" s="474" t="s">
        <v>2386</v>
      </c>
      <c r="JW21" s="259">
        <v>1000</v>
      </c>
      <c r="JX21" s="217" t="s">
        <v>2889</v>
      </c>
      <c r="JY21" s="395">
        <v>13.23</v>
      </c>
      <c r="JZ21" s="243" t="s">
        <v>2808</v>
      </c>
      <c r="KA21" s="320">
        <v>1322.98</v>
      </c>
      <c r="KB21" s="474" t="s">
        <v>2386</v>
      </c>
      <c r="KC21" s="259">
        <v>1000</v>
      </c>
      <c r="KD21" s="285" t="s">
        <v>2890</v>
      </c>
      <c r="KE21" s="327">
        <f>63.91+71.9+199.73+2.07</f>
        <v>337.60999999999996</v>
      </c>
      <c r="KF21" s="297" t="s">
        <v>2855</v>
      </c>
      <c r="KG21" s="202">
        <v>108.001</v>
      </c>
      <c r="KH21" s="440">
        <v>192808</v>
      </c>
      <c r="KI21" s="197"/>
      <c r="KJ21" s="217" t="s">
        <v>2887</v>
      </c>
      <c r="KK21" s="395">
        <v>20.67</v>
      </c>
      <c r="KL21" s="143" t="s">
        <v>2456</v>
      </c>
      <c r="KM21" s="202">
        <v>81.91</v>
      </c>
      <c r="KN21" s="204" t="s">
        <v>2864</v>
      </c>
      <c r="KO21" s="259">
        <f>KN22-0.99*195000</f>
        <v>-55900</v>
      </c>
      <c r="KP21" s="204" t="s">
        <v>3018</v>
      </c>
      <c r="KQ21" s="340">
        <v>1895.66</v>
      </c>
      <c r="KR21" s="143" t="s">
        <v>2986</v>
      </c>
      <c r="KS21" s="202">
        <v>30</v>
      </c>
      <c r="KT21" s="440">
        <v>192582</v>
      </c>
      <c r="KU21" s="197"/>
      <c r="KV21" s="585" t="s">
        <v>3070</v>
      </c>
      <c r="KW21" s="340">
        <v>546.92999999999995</v>
      </c>
      <c r="KX21" s="254" t="s">
        <v>3096</v>
      </c>
      <c r="KY21" s="610">
        <v>399.3</v>
      </c>
      <c r="KZ21" s="204" t="s">
        <v>2643</v>
      </c>
      <c r="LA21" s="259">
        <v>2600</v>
      </c>
      <c r="LB21" s="625" t="s">
        <v>3124</v>
      </c>
      <c r="LC21" s="616">
        <f>611.37+8.86</f>
        <v>620.23</v>
      </c>
      <c r="LD21" s="243" t="s">
        <v>2970</v>
      </c>
      <c r="LE21" s="395">
        <f>1314-LE22</f>
        <v>1179</v>
      </c>
      <c r="LF21" s="618" t="s">
        <v>2645</v>
      </c>
      <c r="LG21" s="644">
        <v>1832</v>
      </c>
      <c r="LH21" s="668" t="s">
        <v>3173</v>
      </c>
      <c r="LI21" s="395">
        <v>676.21</v>
      </c>
      <c r="LJ21" s="143" t="s">
        <v>2971</v>
      </c>
      <c r="LK21" s="286">
        <v>136.97999999999999</v>
      </c>
      <c r="LL21" s="653" t="s">
        <v>2645</v>
      </c>
      <c r="LM21" s="334">
        <v>282</v>
      </c>
      <c r="LN21" s="217" t="s">
        <v>3220</v>
      </c>
      <c r="LO21" s="395">
        <f>34.36+1.52+0.5</f>
        <v>36.380000000000003</v>
      </c>
      <c r="LP21" s="143" t="s">
        <v>3269</v>
      </c>
      <c r="LQ21" s="261">
        <v>153</v>
      </c>
      <c r="LR21" s="684" t="s">
        <v>2644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2" t="s">
        <v>990</v>
      </c>
      <c r="N22" s="782"/>
      <c r="Q22" s="166" t="s">
        <v>369</v>
      </c>
      <c r="S22" s="782" t="s">
        <v>990</v>
      </c>
      <c r="T22" s="782"/>
      <c r="W22" s="242" t="s">
        <v>1019</v>
      </c>
      <c r="X22" s="340">
        <v>0</v>
      </c>
      <c r="Y22" s="787" t="s">
        <v>507</v>
      </c>
      <c r="Z22" s="78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2876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2901</v>
      </c>
      <c r="II22" s="340">
        <f>9.86*4</f>
        <v>39.44</v>
      </c>
      <c r="IJ22" s="299" t="s">
        <v>2204</v>
      </c>
      <c r="IK22" s="340">
        <v>64</v>
      </c>
      <c r="IL22" s="319" t="s">
        <v>2883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7" t="s">
        <v>2131</v>
      </c>
      <c r="IU22" s="767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2556</v>
      </c>
      <c r="JH22" s="299" t="s">
        <v>2148</v>
      </c>
      <c r="JI22" s="202">
        <f>9+14.32</f>
        <v>23.32</v>
      </c>
      <c r="JJ22" s="285" t="s">
        <v>2557</v>
      </c>
      <c r="JK22" s="340">
        <v>230</v>
      </c>
      <c r="JL22" s="499"/>
      <c r="JM22" s="327"/>
      <c r="JN22" s="297" t="s">
        <v>2902</v>
      </c>
      <c r="JO22" s="259">
        <v>2953</v>
      </c>
      <c r="JP22" s="474" t="s">
        <v>2386</v>
      </c>
      <c r="JQ22" s="259">
        <v>1000</v>
      </c>
      <c r="JR22" s="487" t="s">
        <v>2697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2891</v>
      </c>
      <c r="JY22" s="395">
        <v>31.96</v>
      </c>
      <c r="JZ22" s="243" t="s">
        <v>2798</v>
      </c>
      <c r="KA22" s="320">
        <v>1730.87</v>
      </c>
      <c r="KB22" s="325" t="s">
        <v>2404</v>
      </c>
      <c r="KC22" s="202"/>
      <c r="KD22" s="204" t="s">
        <v>2853</v>
      </c>
      <c r="KE22" s="327">
        <f>7000*(1-98.14%)</f>
        <v>130.19999999999965</v>
      </c>
      <c r="KF22" s="297" t="s">
        <v>2833</v>
      </c>
      <c r="KG22" s="340">
        <v>135.69999999999999</v>
      </c>
      <c r="KH22" s="204" t="s">
        <v>2643</v>
      </c>
      <c r="KI22" s="259">
        <v>2600</v>
      </c>
      <c r="KJ22" s="217" t="s">
        <v>2862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3019</v>
      </c>
      <c r="KQ22" s="441">
        <v>2121.2199999999998</v>
      </c>
      <c r="KR22" s="143" t="s">
        <v>2979</v>
      </c>
      <c r="KS22" s="202">
        <v>100</v>
      </c>
      <c r="KT22" s="204" t="s">
        <v>2643</v>
      </c>
      <c r="KU22" s="259">
        <v>2600</v>
      </c>
      <c r="KV22" s="585" t="s">
        <v>3071</v>
      </c>
      <c r="KW22" s="340">
        <v>297.89999999999998</v>
      </c>
      <c r="KX22" s="254" t="s">
        <v>3097</v>
      </c>
      <c r="KY22" s="604">
        <f>388.8-248.41</f>
        <v>140.39000000000001</v>
      </c>
      <c r="KZ22" s="319" t="s">
        <v>2644</v>
      </c>
      <c r="LA22" s="259">
        <v>656</v>
      </c>
      <c r="LB22" s="617" t="s">
        <v>3055</v>
      </c>
      <c r="LC22" s="616">
        <v>93.25</v>
      </c>
      <c r="LD22" s="143" t="s">
        <v>2971</v>
      </c>
      <c r="LE22" s="286">
        <v>135</v>
      </c>
      <c r="LF22" s="618" t="s">
        <v>2909</v>
      </c>
      <c r="LG22" s="259">
        <v>10</v>
      </c>
      <c r="LH22" s="649" t="s">
        <v>3165</v>
      </c>
      <c r="LI22" s="648">
        <v>9.26</v>
      </c>
      <c r="LJ22" s="143" t="s">
        <v>3038</v>
      </c>
      <c r="LK22" s="261">
        <v>42.95</v>
      </c>
      <c r="LL22" s="653" t="s">
        <v>2909</v>
      </c>
      <c r="LM22" s="259">
        <v>10</v>
      </c>
      <c r="LN22" s="680" t="s">
        <v>3242</v>
      </c>
      <c r="LO22" s="395">
        <v>288.38</v>
      </c>
      <c r="LP22" s="143" t="s">
        <v>2456</v>
      </c>
      <c r="LQ22" s="202">
        <v>23.1</v>
      </c>
      <c r="LR22" s="684" t="s">
        <v>2645</v>
      </c>
      <c r="LS22" s="334">
        <v>1031</v>
      </c>
      <c r="LT22" s="460" t="s">
        <v>3309</v>
      </c>
      <c r="LU22" s="334"/>
    </row>
    <row r="23" spans="1:333">
      <c r="A23" s="787" t="s">
        <v>507</v>
      </c>
      <c r="B23" s="787"/>
      <c r="E23" s="164" t="s">
        <v>237</v>
      </c>
      <c r="F23" s="166"/>
      <c r="G23" s="787" t="s">
        <v>507</v>
      </c>
      <c r="H23" s="787"/>
      <c r="K23" s="242" t="s">
        <v>1019</v>
      </c>
      <c r="L23" s="340">
        <v>0</v>
      </c>
      <c r="M23" s="779"/>
      <c r="N23" s="779"/>
      <c r="Q23" s="166" t="s">
        <v>1054</v>
      </c>
      <c r="S23" s="779"/>
      <c r="T23" s="779"/>
      <c r="W23" s="242" t="s">
        <v>1027</v>
      </c>
      <c r="X23" s="204">
        <v>0</v>
      </c>
      <c r="Y23" s="782" t="s">
        <v>990</v>
      </c>
      <c r="Z23" s="782"/>
      <c r="AE23" s="787" t="s">
        <v>507</v>
      </c>
      <c r="AF23" s="787"/>
      <c r="AK23" s="787" t="s">
        <v>507</v>
      </c>
      <c r="AL23" s="78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7" t="s">
        <v>2131</v>
      </c>
      <c r="HK23" s="767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7" t="s">
        <v>2131</v>
      </c>
      <c r="HW23" s="767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2882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2601</v>
      </c>
      <c r="JI23" s="335">
        <v>4.05</v>
      </c>
      <c r="JJ23" s="285" t="s">
        <v>2556</v>
      </c>
      <c r="JL23" s="499"/>
      <c r="JM23" s="327"/>
      <c r="JN23" s="297" t="s">
        <v>2627</v>
      </c>
      <c r="JO23" s="202">
        <v>50.23</v>
      </c>
      <c r="JP23" s="325" t="s">
        <v>2410</v>
      </c>
      <c r="JQ23" s="259"/>
      <c r="JS23" s="327"/>
      <c r="JT23" s="297" t="s">
        <v>2692</v>
      </c>
      <c r="JU23" s="202">
        <v>10</v>
      </c>
      <c r="JV23" s="325" t="s">
        <v>2404</v>
      </c>
      <c r="JW23" s="202"/>
      <c r="JX23" s="285" t="s">
        <v>2892</v>
      </c>
      <c r="JY23" s="395">
        <f>85.99+30.96</f>
        <v>116.94999999999999</v>
      </c>
      <c r="JZ23" s="243" t="s">
        <v>2784</v>
      </c>
      <c r="KA23" s="320">
        <v>1713.69</v>
      </c>
      <c r="KB23" s="325" t="s">
        <v>2410</v>
      </c>
      <c r="KC23" s="202"/>
      <c r="KD23" s="204" t="s">
        <v>2854</v>
      </c>
      <c r="KE23" s="340">
        <f>1660.5+1107</f>
        <v>2767.5</v>
      </c>
      <c r="KF23" s="297" t="s">
        <v>2878</v>
      </c>
      <c r="KG23" s="335">
        <v>10</v>
      </c>
      <c r="KH23" s="319" t="s">
        <v>2644</v>
      </c>
      <c r="KI23" s="259">
        <v>1</v>
      </c>
      <c r="KJ23" s="217" t="s">
        <v>2861</v>
      </c>
      <c r="KK23" s="327">
        <v>5.68</v>
      </c>
      <c r="KL23" s="143" t="s">
        <v>2652</v>
      </c>
      <c r="KM23" s="202">
        <f>14.32+9*2</f>
        <v>32.32</v>
      </c>
      <c r="KN23" s="204" t="s">
        <v>2643</v>
      </c>
      <c r="KO23" s="259">
        <v>2600</v>
      </c>
      <c r="KP23" s="204" t="s">
        <v>3020</v>
      </c>
      <c r="KQ23" s="441">
        <v>2597.87</v>
      </c>
      <c r="KR23" s="143" t="s">
        <v>3035</v>
      </c>
      <c r="KS23" s="274">
        <v>109.75</v>
      </c>
      <c r="KT23" s="319" t="s">
        <v>2644</v>
      </c>
      <c r="KU23" s="259">
        <v>1238</v>
      </c>
      <c r="KV23" s="590" t="s">
        <v>3055</v>
      </c>
      <c r="KW23" s="589">
        <f>5000*(1-0.9813)</f>
        <v>93.500000000000256</v>
      </c>
      <c r="KX23" s="243" t="s">
        <v>2970</v>
      </c>
      <c r="KY23" s="320">
        <f>1338.94-KY24</f>
        <v>1196.72</v>
      </c>
      <c r="KZ23" s="319" t="s">
        <v>2645</v>
      </c>
      <c r="LA23" s="334">
        <v>1072</v>
      </c>
      <c r="LB23" s="636" t="s">
        <v>3125</v>
      </c>
      <c r="LC23" s="635">
        <v>93</v>
      </c>
      <c r="LD23" s="143" t="s">
        <v>3151</v>
      </c>
      <c r="LE23" s="286">
        <v>176.86</v>
      </c>
      <c r="LF23" s="614" t="s">
        <v>3016</v>
      </c>
      <c r="LG23" s="259">
        <v>160</v>
      </c>
      <c r="LH23" s="665" t="s">
        <v>3055</v>
      </c>
      <c r="LI23" s="664">
        <v>93.25</v>
      </c>
      <c r="LJ23" s="143" t="s">
        <v>2456</v>
      </c>
      <c r="LK23" s="202">
        <v>40.950000000000003</v>
      </c>
      <c r="LL23" s="652" t="s">
        <v>3016</v>
      </c>
      <c r="LM23" s="259">
        <v>210</v>
      </c>
      <c r="LN23" s="680" t="s">
        <v>3222</v>
      </c>
      <c r="LO23" s="202">
        <v>3.95</v>
      </c>
      <c r="LP23" s="143" t="s">
        <v>3230</v>
      </c>
      <c r="LQ23" s="202">
        <f>200+339</f>
        <v>539</v>
      </c>
      <c r="LR23" s="684" t="s">
        <v>2909</v>
      </c>
      <c r="LS23" s="259">
        <v>10</v>
      </c>
      <c r="LT23" s="460">
        <v>45349</v>
      </c>
      <c r="LU23" s="334"/>
    </row>
    <row r="24" spans="1:333">
      <c r="A24" s="782" t="s">
        <v>990</v>
      </c>
      <c r="B24" s="782"/>
      <c r="E24" s="164" t="s">
        <v>139</v>
      </c>
      <c r="F24" s="166"/>
      <c r="G24" s="782" t="s">
        <v>990</v>
      </c>
      <c r="H24" s="782"/>
      <c r="K24" s="242" t="s">
        <v>1027</v>
      </c>
      <c r="L24" s="204">
        <v>0</v>
      </c>
      <c r="M24" s="779"/>
      <c r="N24" s="779"/>
      <c r="Q24" s="242" t="s">
        <v>1029</v>
      </c>
      <c r="R24" s="340">
        <v>0</v>
      </c>
      <c r="S24" s="779"/>
      <c r="T24" s="779"/>
      <c r="W24" s="242" t="s">
        <v>1048</v>
      </c>
      <c r="X24" s="340">
        <v>910.17</v>
      </c>
      <c r="Y24" s="779"/>
      <c r="Z24" s="779"/>
      <c r="AC24" s="245" t="s">
        <v>1081</v>
      </c>
      <c r="AD24" s="340">
        <v>90</v>
      </c>
      <c r="AE24" s="782" t="s">
        <v>990</v>
      </c>
      <c r="AF24" s="782"/>
      <c r="AI24" s="243" t="s">
        <v>1099</v>
      </c>
      <c r="AJ24" s="340">
        <v>30</v>
      </c>
      <c r="AK24" s="782" t="s">
        <v>990</v>
      </c>
      <c r="AL24" s="782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82"/>
      <c r="BH24" s="782"/>
      <c r="BK24" s="257" t="s">
        <v>1219</v>
      </c>
      <c r="BL24" s="204">
        <v>48.54</v>
      </c>
      <c r="BM24" s="782"/>
      <c r="BN24" s="782"/>
      <c r="BQ24" s="257" t="s">
        <v>1049</v>
      </c>
      <c r="BR24" s="204">
        <v>50.15</v>
      </c>
      <c r="BS24" s="782" t="s">
        <v>1242</v>
      </c>
      <c r="BT24" s="782"/>
      <c r="BW24" s="257" t="s">
        <v>1049</v>
      </c>
      <c r="BX24" s="204">
        <v>48.54</v>
      </c>
      <c r="BY24" s="782"/>
      <c r="BZ24" s="782"/>
      <c r="CC24" s="257" t="s">
        <v>1049</v>
      </c>
      <c r="CD24" s="204">
        <v>142.91</v>
      </c>
      <c r="CE24" s="782"/>
      <c r="CF24" s="782"/>
      <c r="CI24" s="257" t="s">
        <v>1309</v>
      </c>
      <c r="CJ24" s="204">
        <v>35.049999999999997</v>
      </c>
      <c r="CK24" s="779"/>
      <c r="CL24" s="779"/>
      <c r="CO24" s="257" t="s">
        <v>1283</v>
      </c>
      <c r="CP24" s="204">
        <v>153.41</v>
      </c>
      <c r="CQ24" s="779" t="s">
        <v>1324</v>
      </c>
      <c r="CR24" s="779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2743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2634</v>
      </c>
      <c r="JO24" s="202">
        <f>9+2</f>
        <v>11</v>
      </c>
      <c r="JP24" s="325" t="s">
        <v>2660</v>
      </c>
      <c r="JQ24" s="259">
        <v>14.8</v>
      </c>
      <c r="JR24" s="457" t="s">
        <v>2632</v>
      </c>
      <c r="JS24" s="457"/>
      <c r="JT24" s="297" t="s">
        <v>2717</v>
      </c>
      <c r="JU24" s="202">
        <v>48.2</v>
      </c>
      <c r="JV24" s="325" t="s">
        <v>2685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2777</v>
      </c>
      <c r="KC24" s="202">
        <v>1.64</v>
      </c>
      <c r="KD24" s="340">
        <f>150000*(1-0.98155)</f>
        <v>2767.499999999995</v>
      </c>
      <c r="KE24" s="340" t="s">
        <v>2942</v>
      </c>
      <c r="KF24" s="297" t="s">
        <v>2822</v>
      </c>
      <c r="KG24" s="335">
        <v>38</v>
      </c>
      <c r="KH24" s="319" t="s">
        <v>2645</v>
      </c>
      <c r="KI24" s="334">
        <v>408</v>
      </c>
      <c r="KJ24" s="204" t="s">
        <v>2948</v>
      </c>
      <c r="KK24" s="340">
        <f>20000*(1-0.9814)</f>
        <v>371.99999999999898</v>
      </c>
      <c r="KL24" s="143" t="s">
        <v>2702</v>
      </c>
      <c r="KM24" s="202">
        <v>10.8</v>
      </c>
      <c r="KN24" s="319" t="s">
        <v>2644</v>
      </c>
      <c r="KO24" s="259">
        <v>520</v>
      </c>
      <c r="KP24" s="204" t="s">
        <v>3021</v>
      </c>
      <c r="KQ24" s="441">
        <v>2650.71</v>
      </c>
      <c r="KR24" s="143" t="s">
        <v>2978</v>
      </c>
      <c r="KS24" s="274">
        <v>131.87</v>
      </c>
      <c r="KT24" s="319" t="s">
        <v>2645</v>
      </c>
      <c r="KU24" s="334">
        <v>41061</v>
      </c>
      <c r="KV24" s="603" t="s">
        <v>3077</v>
      </c>
      <c r="KW24" s="327">
        <f>5000*2*(1-0.98105)</f>
        <v>189.50000000000023</v>
      </c>
      <c r="KX24" s="143" t="s">
        <v>2971</v>
      </c>
      <c r="KY24" s="326">
        <v>142.22</v>
      </c>
      <c r="KZ24" s="319" t="s">
        <v>2909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3178</v>
      </c>
      <c r="LI24" s="395">
        <v>92.25</v>
      </c>
      <c r="LJ24" s="143" t="s">
        <v>3193</v>
      </c>
      <c r="LK24" s="274">
        <v>152.15</v>
      </c>
      <c r="LL24" s="654" t="s">
        <v>2386</v>
      </c>
      <c r="LM24" s="259">
        <v>1000</v>
      </c>
      <c r="LN24" s="680" t="s">
        <v>3241</v>
      </c>
      <c r="LO24" s="202">
        <v>91.25</v>
      </c>
      <c r="LP24" s="143" t="s">
        <v>3262</v>
      </c>
      <c r="LQ24" s="274">
        <f>3.87</f>
        <v>3.87</v>
      </c>
      <c r="LR24" s="683" t="s">
        <v>3016</v>
      </c>
      <c r="LS24" s="259">
        <v>150</v>
      </c>
      <c r="LT24" s="460">
        <v>45338</v>
      </c>
    </row>
    <row r="25" spans="1:333">
      <c r="A25" s="779"/>
      <c r="B25" s="779"/>
      <c r="E25" s="197" t="s">
        <v>362</v>
      </c>
      <c r="F25" s="170"/>
      <c r="G25" s="779"/>
      <c r="H25" s="779"/>
      <c r="K25" s="242" t="s">
        <v>1018</v>
      </c>
      <c r="L25" s="340">
        <f>910+40</f>
        <v>950</v>
      </c>
      <c r="M25" s="779"/>
      <c r="N25" s="779"/>
      <c r="Q25" s="242" t="s">
        <v>1026</v>
      </c>
      <c r="R25" s="340">
        <v>0</v>
      </c>
      <c r="S25" s="779"/>
      <c r="T25" s="779"/>
      <c r="W25" s="143" t="s">
        <v>1083</v>
      </c>
      <c r="X25" s="340">
        <v>110.58</v>
      </c>
      <c r="Y25" s="779"/>
      <c r="Z25" s="779"/>
      <c r="AE25" s="779"/>
      <c r="AF25" s="779"/>
      <c r="AK25" s="779"/>
      <c r="AL25" s="779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9"/>
      <c r="AX25" s="779"/>
      <c r="AY25" s="143"/>
      <c r="AZ25" s="204"/>
      <c r="BA25" s="779"/>
      <c r="BB25" s="779"/>
      <c r="BE25" s="143" t="s">
        <v>1192</v>
      </c>
      <c r="BF25" s="204">
        <f>6.5*2</f>
        <v>13</v>
      </c>
      <c r="BG25" s="779"/>
      <c r="BH25" s="779"/>
      <c r="BK25" s="257" t="s">
        <v>1192</v>
      </c>
      <c r="BL25" s="204">
        <f>6.5*2</f>
        <v>13</v>
      </c>
      <c r="BM25" s="779"/>
      <c r="BN25" s="779"/>
      <c r="BQ25" s="257" t="s">
        <v>1192</v>
      </c>
      <c r="BR25" s="204">
        <v>13</v>
      </c>
      <c r="BS25" s="779"/>
      <c r="BT25" s="779"/>
      <c r="BW25" s="257" t="s">
        <v>1192</v>
      </c>
      <c r="BX25" s="204">
        <v>13</v>
      </c>
      <c r="BY25" s="779"/>
      <c r="BZ25" s="779"/>
      <c r="CC25" s="257" t="s">
        <v>1192</v>
      </c>
      <c r="CD25" s="204">
        <v>13</v>
      </c>
      <c r="CE25" s="779"/>
      <c r="CF25" s="779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77" t="s">
        <v>1533</v>
      </c>
      <c r="DZ25" s="778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7" t="s">
        <v>2131</v>
      </c>
      <c r="IC25" s="767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2744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2614</v>
      </c>
      <c r="JI25" s="202">
        <v>20</v>
      </c>
      <c r="JJ25" s="325" t="s">
        <v>2404</v>
      </c>
      <c r="JN25" s="297" t="s">
        <v>2638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2700</v>
      </c>
      <c r="JU25" s="202">
        <v>68.900000000000006</v>
      </c>
      <c r="JV25" s="325" t="s">
        <v>2357</v>
      </c>
      <c r="JW25" s="202"/>
      <c r="JZ25" s="299" t="s">
        <v>2782</v>
      </c>
      <c r="KA25" s="202">
        <v>219</v>
      </c>
      <c r="KB25" s="325"/>
      <c r="KC25" s="202"/>
      <c r="KF25" s="297" t="s">
        <v>2826</v>
      </c>
      <c r="KG25" s="335">
        <v>25.9</v>
      </c>
      <c r="KH25" s="319" t="s">
        <v>2648</v>
      </c>
      <c r="KI25" s="259" t="s">
        <v>2090</v>
      </c>
      <c r="KJ25" s="204" t="s">
        <v>2949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2645</v>
      </c>
      <c r="KO25" s="334">
        <v>1334</v>
      </c>
      <c r="KP25" s="514">
        <f>SUM(KQ21:KQ24)</f>
        <v>9265.4599999999991</v>
      </c>
      <c r="KQ25" s="531" t="s">
        <v>3076</v>
      </c>
      <c r="KR25" s="143" t="s">
        <v>1192</v>
      </c>
      <c r="KS25" s="202">
        <f>15+6.5</f>
        <v>21.5</v>
      </c>
      <c r="KT25" s="319" t="s">
        <v>2909</v>
      </c>
      <c r="KU25" s="259">
        <v>10</v>
      </c>
      <c r="KV25" s="204"/>
      <c r="KX25" s="143" t="s">
        <v>3038</v>
      </c>
      <c r="KY25" s="286">
        <v>176.15</v>
      </c>
      <c r="KZ25" s="285" t="s">
        <v>3016</v>
      </c>
      <c r="LA25" s="259">
        <v>90</v>
      </c>
      <c r="LB25" s="639"/>
      <c r="LC25" s="639"/>
      <c r="LD25" s="143" t="s">
        <v>3107</v>
      </c>
      <c r="LE25" s="202">
        <v>30</v>
      </c>
      <c r="LF25" s="627" t="s">
        <v>2913</v>
      </c>
      <c r="LG25" s="259"/>
      <c r="LH25" s="680"/>
      <c r="LI25" s="679"/>
      <c r="LJ25" s="143" t="s">
        <v>3194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45348</v>
      </c>
    </row>
    <row r="26" spans="1:333">
      <c r="A26" s="779"/>
      <c r="B26" s="779"/>
      <c r="F26" s="194"/>
      <c r="G26" s="779"/>
      <c r="H26" s="779"/>
      <c r="M26" s="783" t="s">
        <v>506</v>
      </c>
      <c r="N26" s="783"/>
      <c r="Q26" s="242" t="s">
        <v>1019</v>
      </c>
      <c r="R26" s="340">
        <v>0</v>
      </c>
      <c r="S26" s="783" t="s">
        <v>506</v>
      </c>
      <c r="T26" s="783"/>
      <c r="W26" s="143" t="s">
        <v>1049</v>
      </c>
      <c r="X26" s="340">
        <v>60.75</v>
      </c>
      <c r="Y26" s="779"/>
      <c r="Z26" s="779"/>
      <c r="AC26" s="218" t="s">
        <v>1090</v>
      </c>
      <c r="AD26" s="218"/>
      <c r="AE26" s="783" t="s">
        <v>506</v>
      </c>
      <c r="AF26" s="783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7" t="s">
        <v>2131</v>
      </c>
      <c r="HQ26" s="767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2906</v>
      </c>
      <c r="IW26" s="261">
        <f>2+59+11+23</f>
        <v>95</v>
      </c>
      <c r="IX26" s="325"/>
      <c r="IZ26" s="499"/>
      <c r="JA26" s="327"/>
      <c r="JB26" s="297" t="s">
        <v>2569</v>
      </c>
      <c r="JC26" s="202">
        <v>10</v>
      </c>
      <c r="JD26" s="474"/>
      <c r="JH26" s="297" t="s">
        <v>2597</v>
      </c>
      <c r="JI26" s="202">
        <v>30</v>
      </c>
      <c r="JJ26" s="325" t="s">
        <v>2357</v>
      </c>
      <c r="JL26" s="457" t="s">
        <v>2632</v>
      </c>
      <c r="JM26" s="457"/>
      <c r="JN26" s="297" t="s">
        <v>2745</v>
      </c>
      <c r="JO26" s="335">
        <v>42.9</v>
      </c>
      <c r="JP26" s="325" t="s">
        <v>2639</v>
      </c>
      <c r="JQ26" s="259">
        <v>15</v>
      </c>
      <c r="JR26" s="312" t="s">
        <v>2698</v>
      </c>
      <c r="JS26" s="260">
        <f>SUM(JU11:JU13)</f>
        <v>5390.235999999999</v>
      </c>
      <c r="JT26" s="297" t="s">
        <v>2741</v>
      </c>
      <c r="JU26" s="202">
        <v>41.5</v>
      </c>
      <c r="JV26" s="325"/>
      <c r="JW26" s="202"/>
      <c r="JZ26" s="299" t="s">
        <v>2879</v>
      </c>
      <c r="KA26" s="202">
        <v>30</v>
      </c>
      <c r="KB26" s="325" t="s">
        <v>2357</v>
      </c>
      <c r="KC26" s="202"/>
      <c r="KF26" s="297" t="s">
        <v>2836</v>
      </c>
      <c r="KG26" s="335">
        <v>63.1</v>
      </c>
      <c r="KH26" s="319" t="s">
        <v>2560</v>
      </c>
      <c r="KI26" s="259">
        <v>15</v>
      </c>
      <c r="KL26" s="297" t="s">
        <v>2940</v>
      </c>
      <c r="KM26" s="202">
        <f>80+115</f>
        <v>195</v>
      </c>
      <c r="KN26" s="483" t="s">
        <v>2964</v>
      </c>
      <c r="KO26" s="334"/>
      <c r="KP26" s="525"/>
      <c r="KQ26" s="538"/>
      <c r="KR26" s="143" t="s">
        <v>2652</v>
      </c>
      <c r="KS26" s="202">
        <f>14.32+9+9</f>
        <v>32.32</v>
      </c>
      <c r="KT26" s="285" t="s">
        <v>3016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3108</v>
      </c>
      <c r="LE26" s="202">
        <v>250</v>
      </c>
      <c r="LF26" s="620" t="s">
        <v>2404</v>
      </c>
      <c r="LG26" s="202"/>
      <c r="LH26" s="679"/>
      <c r="LI26" s="679"/>
      <c r="LJ26" s="143" t="s">
        <v>2652</v>
      </c>
      <c r="LK26" s="202">
        <f>13.57+9*2</f>
        <v>31.57</v>
      </c>
      <c r="LL26" s="669"/>
      <c r="LM26" s="259"/>
      <c r="LN26" s="217" t="s">
        <v>2760</v>
      </c>
      <c r="LP26" s="143" t="s">
        <v>2652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9"/>
      <c r="B27" s="779"/>
      <c r="E27" s="193" t="s">
        <v>360</v>
      </c>
      <c r="F27" s="194"/>
      <c r="G27" s="779"/>
      <c r="H27" s="779"/>
      <c r="K27" s="143" t="s">
        <v>1017</v>
      </c>
      <c r="L27" s="340">
        <f>60</f>
        <v>60</v>
      </c>
      <c r="M27" s="783" t="s">
        <v>992</v>
      </c>
      <c r="N27" s="783"/>
      <c r="Q27" s="242" t="s">
        <v>1071</v>
      </c>
      <c r="R27" s="204">
        <v>200</v>
      </c>
      <c r="S27" s="783" t="s">
        <v>992</v>
      </c>
      <c r="T27" s="783"/>
      <c r="W27" s="143" t="s">
        <v>1016</v>
      </c>
      <c r="X27" s="340">
        <v>61.35</v>
      </c>
      <c r="Y27" s="783" t="s">
        <v>506</v>
      </c>
      <c r="Z27" s="783"/>
      <c r="AC27" s="218" t="s">
        <v>1086</v>
      </c>
      <c r="AD27" s="218">
        <f>53+207+63</f>
        <v>323</v>
      </c>
      <c r="AE27" s="783" t="s">
        <v>992</v>
      </c>
      <c r="AF27" s="783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2574</v>
      </c>
      <c r="JC27" s="202">
        <v>7</v>
      </c>
      <c r="JD27" s="474"/>
      <c r="JF27" s="457" t="s">
        <v>2581</v>
      </c>
      <c r="JG27" s="457"/>
      <c r="JH27" s="297" t="s">
        <v>2616</v>
      </c>
      <c r="JI27" s="202">
        <f>55.72+65.82</f>
        <v>121.53999999999999</v>
      </c>
      <c r="JJ27" s="325" t="s">
        <v>2602</v>
      </c>
      <c r="JK27" s="340">
        <v>59.4</v>
      </c>
      <c r="JL27" s="192" t="s">
        <v>1924</v>
      </c>
      <c r="JM27" s="260">
        <f>SUM(JO6:JO7)</f>
        <v>2900.12</v>
      </c>
      <c r="JN27" s="297" t="s">
        <v>2669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2714</v>
      </c>
      <c r="JU27" s="335">
        <v>11</v>
      </c>
      <c r="JV27" s="325"/>
      <c r="JW27" s="202"/>
      <c r="JZ27" s="299" t="s">
        <v>2811</v>
      </c>
      <c r="KA27" s="274">
        <f>131.87*2</f>
        <v>263.74</v>
      </c>
      <c r="KB27" s="325"/>
      <c r="KC27" s="325"/>
      <c r="KF27" s="297" t="s">
        <v>2840</v>
      </c>
      <c r="KG27" s="335">
        <v>45.74</v>
      </c>
      <c r="KH27" s="285" t="s">
        <v>2557</v>
      </c>
      <c r="KI27" s="259">
        <v>130</v>
      </c>
      <c r="KK27" s="285"/>
      <c r="KL27" s="297" t="s">
        <v>2921</v>
      </c>
      <c r="KM27" s="202">
        <v>30</v>
      </c>
      <c r="KN27" s="319" t="s">
        <v>2909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2986</v>
      </c>
      <c r="KY27" s="202">
        <v>30</v>
      </c>
      <c r="KZ27" s="340" t="s">
        <v>3091</v>
      </c>
      <c r="LA27" s="340">
        <f>240-15.97</f>
        <v>224.03</v>
      </c>
      <c r="LB27" s="639"/>
      <c r="LC27" s="639"/>
      <c r="LD27" s="143" t="s">
        <v>3101</v>
      </c>
      <c r="LE27" s="274">
        <v>151.85</v>
      </c>
      <c r="LF27" s="638" t="s">
        <v>3138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90" t="s">
        <v>2806</v>
      </c>
      <c r="LO27" s="790"/>
      <c r="LP27" s="143" t="s">
        <v>2305</v>
      </c>
      <c r="LQ27" s="202">
        <f>18+16+10+11.54+17.39+17.41</f>
        <v>90.34</v>
      </c>
      <c r="LR27" s="685" t="s">
        <v>3271</v>
      </c>
      <c r="LS27" s="259">
        <v>5000</v>
      </c>
    </row>
    <row r="28" spans="1:333">
      <c r="A28" s="783" t="s">
        <v>506</v>
      </c>
      <c r="B28" s="783"/>
      <c r="E28" s="193" t="s">
        <v>282</v>
      </c>
      <c r="F28" s="194"/>
      <c r="G28" s="783" t="s">
        <v>506</v>
      </c>
      <c r="H28" s="783"/>
      <c r="K28" s="143" t="s">
        <v>1016</v>
      </c>
      <c r="L28" s="340">
        <v>0</v>
      </c>
      <c r="M28" s="785" t="s">
        <v>93</v>
      </c>
      <c r="N28" s="785"/>
      <c r="Q28" s="242" t="s">
        <v>1048</v>
      </c>
      <c r="R28" s="340">
        <v>0</v>
      </c>
      <c r="S28" s="785" t="s">
        <v>93</v>
      </c>
      <c r="T28" s="785"/>
      <c r="W28" s="143" t="s">
        <v>1015</v>
      </c>
      <c r="X28" s="340">
        <v>64</v>
      </c>
      <c r="Y28" s="783" t="s">
        <v>992</v>
      </c>
      <c r="Z28" s="783"/>
      <c r="AC28" s="218" t="s">
        <v>1087</v>
      </c>
      <c r="AD28" s="218">
        <f>63+46</f>
        <v>109</v>
      </c>
      <c r="AE28" s="785" t="s">
        <v>93</v>
      </c>
      <c r="AF28" s="785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2741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7" t="s">
        <v>2131</v>
      </c>
      <c r="JA28" s="767"/>
      <c r="JB28" s="297" t="s">
        <v>2746</v>
      </c>
      <c r="JC28" s="202">
        <v>34</v>
      </c>
      <c r="JF28" s="192" t="s">
        <v>1924</v>
      </c>
      <c r="JG28" s="260">
        <f>SUM(JI6:JI7)</f>
        <v>3900.1</v>
      </c>
      <c r="JH28" s="297" t="s">
        <v>2747</v>
      </c>
      <c r="JI28" s="202">
        <f>44.8+43.4</f>
        <v>88.199999999999989</v>
      </c>
      <c r="JJ28" s="325" t="s">
        <v>2603</v>
      </c>
      <c r="JK28" s="340">
        <v>75.599999999999994</v>
      </c>
      <c r="JL28" s="312" t="s">
        <v>2699</v>
      </c>
      <c r="JM28" s="260">
        <f>SUM(JO11:JO13)</f>
        <v>116477.65199999999</v>
      </c>
      <c r="JN28" s="340" t="s">
        <v>2903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2903</v>
      </c>
      <c r="JU28" s="261">
        <f>13</f>
        <v>13</v>
      </c>
      <c r="JV28" s="325"/>
      <c r="JW28" s="202"/>
      <c r="JZ28" s="299" t="s">
        <v>2799</v>
      </c>
      <c r="KA28" s="202">
        <f>(15+6.5)*2</f>
        <v>43</v>
      </c>
      <c r="KB28" s="325"/>
      <c r="KC28" s="325"/>
      <c r="KD28" s="457" t="s">
        <v>2632</v>
      </c>
      <c r="KE28" s="457"/>
      <c r="KF28" s="297" t="s">
        <v>2843</v>
      </c>
      <c r="KG28" s="335">
        <v>21.12</v>
      </c>
      <c r="KH28" s="285" t="s">
        <v>2556</v>
      </c>
      <c r="KI28" s="259"/>
      <c r="KL28" s="297" t="s">
        <v>2863</v>
      </c>
      <c r="KM28" s="202">
        <v>30.06</v>
      </c>
      <c r="KN28" s="285" t="s">
        <v>2871</v>
      </c>
      <c r="KO28" s="259">
        <v>110</v>
      </c>
      <c r="KP28" s="217"/>
      <c r="KQ28" s="395"/>
      <c r="KR28" s="297" t="s">
        <v>3042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2913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3163</v>
      </c>
      <c r="LK28" s="202">
        <v>20</v>
      </c>
      <c r="LL28" s="654" t="s">
        <v>2913</v>
      </c>
      <c r="LM28" s="259"/>
      <c r="LN28" s="694"/>
      <c r="LP28" s="297" t="s">
        <v>3276</v>
      </c>
      <c r="LQ28" s="202">
        <v>20</v>
      </c>
      <c r="LR28" s="714" t="s">
        <v>3310</v>
      </c>
      <c r="LS28" s="259">
        <v>600</v>
      </c>
    </row>
    <row r="29" spans="1:333">
      <c r="A29" s="783" t="s">
        <v>992</v>
      </c>
      <c r="B29" s="783"/>
      <c r="E29" s="193" t="s">
        <v>372</v>
      </c>
      <c r="F29" s="194"/>
      <c r="G29" s="783" t="s">
        <v>992</v>
      </c>
      <c r="H29" s="783"/>
      <c r="K29" s="143" t="s">
        <v>1015</v>
      </c>
      <c r="L29" s="340">
        <v>64</v>
      </c>
      <c r="M29" s="779" t="s">
        <v>385</v>
      </c>
      <c r="N29" s="779"/>
      <c r="S29" s="779" t="s">
        <v>385</v>
      </c>
      <c r="T29" s="779"/>
      <c r="W29" s="143" t="s">
        <v>1014</v>
      </c>
      <c r="X29" s="340">
        <v>100.01</v>
      </c>
      <c r="Y29" s="785" t="s">
        <v>93</v>
      </c>
      <c r="Z29" s="785"/>
      <c r="AC29" s="340" t="s">
        <v>1085</v>
      </c>
      <c r="AD29" s="340">
        <v>65</v>
      </c>
      <c r="AE29" s="779" t="s">
        <v>385</v>
      </c>
      <c r="AF29" s="779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2748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2664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2592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2652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3177</v>
      </c>
      <c r="KG29" s="274">
        <f>341+171</f>
        <v>512</v>
      </c>
      <c r="KH29" s="474" t="s">
        <v>2386</v>
      </c>
      <c r="KI29" s="259">
        <v>1000</v>
      </c>
      <c r="KL29" s="297" t="s">
        <v>2925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3032</v>
      </c>
      <c r="KS29" s="202">
        <v>400.92</v>
      </c>
      <c r="KT29" s="474" t="s">
        <v>3007</v>
      </c>
      <c r="KU29" s="202">
        <v>1202.04</v>
      </c>
      <c r="KV29" s="601"/>
      <c r="KW29" s="600"/>
      <c r="KX29" s="143" t="s">
        <v>3072</v>
      </c>
      <c r="KY29" s="202">
        <v>57.3</v>
      </c>
      <c r="KZ29" s="325" t="s">
        <v>2404</v>
      </c>
      <c r="LA29" s="202"/>
      <c r="LB29" s="632"/>
      <c r="LC29" s="632"/>
      <c r="LD29" s="143" t="s">
        <v>3121</v>
      </c>
      <c r="LE29" s="202">
        <v>67.8</v>
      </c>
      <c r="LF29" s="631" t="s">
        <v>3148</v>
      </c>
      <c r="LG29" s="259">
        <f>52.8*2</f>
        <v>105.6</v>
      </c>
      <c r="LJ29" s="297" t="s">
        <v>3207</v>
      </c>
      <c r="LK29" s="202">
        <v>5</v>
      </c>
      <c r="LL29" s="661"/>
      <c r="LM29" s="202"/>
      <c r="LP29" s="297" t="s">
        <v>3253</v>
      </c>
      <c r="LQ29" s="202">
        <v>387.83</v>
      </c>
      <c r="LR29" s="685" t="s">
        <v>2913</v>
      </c>
      <c r="LS29" s="259"/>
    </row>
    <row r="30" spans="1:333">
      <c r="A30" s="785" t="s">
        <v>93</v>
      </c>
      <c r="B30" s="785"/>
      <c r="E30" s="193" t="s">
        <v>1007</v>
      </c>
      <c r="F30" s="170"/>
      <c r="G30" s="785" t="s">
        <v>93</v>
      </c>
      <c r="H30" s="785"/>
      <c r="K30" s="143" t="s">
        <v>1014</v>
      </c>
      <c r="L30" s="340">
        <v>50.01</v>
      </c>
      <c r="M30" s="786" t="s">
        <v>1001</v>
      </c>
      <c r="N30" s="786"/>
      <c r="Q30" s="143" t="s">
        <v>1050</v>
      </c>
      <c r="R30" s="340">
        <v>26</v>
      </c>
      <c r="S30" s="786" t="s">
        <v>1001</v>
      </c>
      <c r="T30" s="786"/>
      <c r="Y30" s="779" t="s">
        <v>385</v>
      </c>
      <c r="Z30" s="779"/>
      <c r="AC30" s="340" t="s">
        <v>1088</v>
      </c>
      <c r="AD30" s="340">
        <v>10</v>
      </c>
      <c r="AE30" s="786" t="s">
        <v>1001</v>
      </c>
      <c r="AF30" s="786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2613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2613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2553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2596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3004</v>
      </c>
      <c r="KA30" s="202">
        <f>64+30.9</f>
        <v>94.9</v>
      </c>
      <c r="KB30" s="340" t="s">
        <v>93</v>
      </c>
      <c r="KD30" s="312" t="s">
        <v>2950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2932</v>
      </c>
      <c r="KM30" s="335">
        <v>44.55</v>
      </c>
      <c r="KN30" s="325" t="s">
        <v>2404</v>
      </c>
      <c r="KO30" s="202"/>
      <c r="KP30" s="525"/>
      <c r="KQ30" s="525"/>
      <c r="KR30" s="297" t="s">
        <v>2994</v>
      </c>
      <c r="KS30" s="202">
        <f>5+0.99</f>
        <v>5.99</v>
      </c>
      <c r="KT30" s="474" t="s">
        <v>3015</v>
      </c>
      <c r="KU30" s="202"/>
      <c r="KV30" s="601"/>
      <c r="KW30" s="600"/>
      <c r="KX30" s="143" t="s">
        <v>2652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2652</v>
      </c>
      <c r="LE30" s="202">
        <f>14.32+18*2</f>
        <v>50.32</v>
      </c>
      <c r="LF30" s="658" t="s">
        <v>3160</v>
      </c>
      <c r="LG30" s="259">
        <v>28.82</v>
      </c>
      <c r="LH30" s="646" t="s">
        <v>2632</v>
      </c>
      <c r="LI30" s="646"/>
      <c r="LJ30" s="297" t="s">
        <v>3162</v>
      </c>
      <c r="LK30" s="202">
        <v>10.6</v>
      </c>
      <c r="LL30" s="663"/>
      <c r="LM30" s="202"/>
      <c r="LN30" s="677" t="s">
        <v>2632</v>
      </c>
      <c r="LO30" s="699"/>
      <c r="LP30" s="297" t="s">
        <v>3240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9" t="s">
        <v>385</v>
      </c>
      <c r="B31" s="779"/>
      <c r="E31" s="170"/>
      <c r="F31" s="170"/>
      <c r="G31" s="779" t="s">
        <v>385</v>
      </c>
      <c r="H31" s="779"/>
      <c r="M31" s="782" t="s">
        <v>243</v>
      </c>
      <c r="N31" s="782"/>
      <c r="Q31" s="143" t="s">
        <v>1049</v>
      </c>
      <c r="R31" s="340">
        <v>55</v>
      </c>
      <c r="S31" s="782" t="s">
        <v>243</v>
      </c>
      <c r="T31" s="782"/>
      <c r="W31" s="241" t="s">
        <v>1070</v>
      </c>
      <c r="X31" s="241">
        <v>0</v>
      </c>
      <c r="Y31" s="786" t="s">
        <v>1001</v>
      </c>
      <c r="Z31" s="786"/>
      <c r="AE31" s="782" t="s">
        <v>243</v>
      </c>
      <c r="AF31" s="78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70" t="s">
        <v>1435</v>
      </c>
      <c r="DP31" s="770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2554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2604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2829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2702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2777</v>
      </c>
      <c r="KI31" s="202">
        <v>1.64</v>
      </c>
      <c r="KK31" s="285"/>
      <c r="KL31" s="297" t="s">
        <v>2627</v>
      </c>
      <c r="KM31" s="335">
        <v>57.86</v>
      </c>
      <c r="KN31" s="474" t="s">
        <v>2968</v>
      </c>
      <c r="KO31" s="202">
        <v>3.54</v>
      </c>
      <c r="KQ31" s="285"/>
      <c r="KR31" s="297" t="s">
        <v>3026</v>
      </c>
      <c r="KS31" s="202">
        <v>43.9</v>
      </c>
      <c r="KT31" s="325" t="s">
        <v>3024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3199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SUM(LQ6:LQ9)</f>
        <v>5000.01</v>
      </c>
      <c r="LP31" s="297" t="s">
        <v>3227</v>
      </c>
      <c r="LQ31" s="202">
        <v>78.650000000000006</v>
      </c>
      <c r="LR31" s="704" t="s">
        <v>3261</v>
      </c>
      <c r="LS31" s="679">
        <v>8</v>
      </c>
      <c r="LT31" s="202"/>
    </row>
    <row r="32" spans="1:333">
      <c r="A32" s="786" t="s">
        <v>1001</v>
      </c>
      <c r="B32" s="786"/>
      <c r="C32" s="244"/>
      <c r="D32" s="244"/>
      <c r="E32" s="244"/>
      <c r="F32" s="244"/>
      <c r="G32" s="786" t="s">
        <v>1001</v>
      </c>
      <c r="H32" s="786"/>
      <c r="K32" s="241" t="s">
        <v>1021</v>
      </c>
      <c r="L32" s="241"/>
      <c r="M32" s="784" t="s">
        <v>1034</v>
      </c>
      <c r="N32" s="784"/>
      <c r="Q32" s="143" t="s">
        <v>1016</v>
      </c>
      <c r="R32" s="340">
        <v>77.239999999999995</v>
      </c>
      <c r="S32" s="784" t="s">
        <v>1034</v>
      </c>
      <c r="T32" s="784"/>
      <c r="Y32" s="782" t="s">
        <v>243</v>
      </c>
      <c r="Z32" s="782"/>
      <c r="AC32" s="196" t="s">
        <v>1012</v>
      </c>
      <c r="AD32" s="340">
        <v>350</v>
      </c>
      <c r="AE32" s="784" t="s">
        <v>1034</v>
      </c>
      <c r="AF32" s="78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0" t="s">
        <v>1408</v>
      </c>
      <c r="DB32" s="781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2741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2613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7" t="s">
        <v>2131</v>
      </c>
      <c r="IO32" s="767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2573</v>
      </c>
      <c r="JC32" s="335">
        <v>74.13</v>
      </c>
      <c r="JF32" s="302" t="s">
        <v>2127</v>
      </c>
      <c r="JG32" s="259">
        <f>SUM(JI16:JI24)</f>
        <v>412.16</v>
      </c>
      <c r="JH32" s="340" t="s">
        <v>2903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2679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2733</v>
      </c>
      <c r="KH32" s="325" t="s">
        <v>2834</v>
      </c>
      <c r="KI32" s="202"/>
      <c r="KL32" s="297" t="s">
        <v>3272</v>
      </c>
      <c r="KM32" s="335">
        <v>36.5</v>
      </c>
      <c r="KN32" s="340" t="s">
        <v>2934</v>
      </c>
      <c r="KO32" s="202">
        <v>58.2</v>
      </c>
      <c r="KR32" s="297" t="s">
        <v>3046</v>
      </c>
      <c r="KS32" s="202">
        <v>24.5</v>
      </c>
      <c r="KT32" s="325"/>
      <c r="KU32" s="202"/>
      <c r="KV32" s="617"/>
      <c r="KW32" s="616"/>
      <c r="KX32" s="297" t="s">
        <v>3074</v>
      </c>
      <c r="KY32" s="202">
        <v>40</v>
      </c>
      <c r="KZ32" s="609"/>
      <c r="LD32" s="297" t="s">
        <v>3139</v>
      </c>
      <c r="LE32" s="202">
        <v>40</v>
      </c>
      <c r="LF32" s="643"/>
      <c r="LH32" s="312" t="s">
        <v>2956</v>
      </c>
      <c r="LI32" s="260">
        <f>SUM(LK20:LK20)</f>
        <v>1154.33</v>
      </c>
      <c r="LJ32" s="297" t="s">
        <v>3208</v>
      </c>
      <c r="LK32" s="335">
        <v>43.76</v>
      </c>
      <c r="LL32" s="673" t="s">
        <v>3186</v>
      </c>
      <c r="LM32" s="202">
        <v>37.99</v>
      </c>
      <c r="LN32" s="312" t="s">
        <v>2956</v>
      </c>
      <c r="LO32" s="261">
        <f>SUM(LQ18:LQ19)</f>
        <v>2000</v>
      </c>
      <c r="LP32" s="297" t="s">
        <v>3260</v>
      </c>
      <c r="LQ32" s="202">
        <f>9.79+12.29</f>
        <v>22.08</v>
      </c>
      <c r="LT32" s="202"/>
    </row>
    <row r="33" spans="1:333">
      <c r="A33" s="782" t="s">
        <v>243</v>
      </c>
      <c r="B33" s="782"/>
      <c r="E33" s="187" t="s">
        <v>368</v>
      </c>
      <c r="F33" s="170"/>
      <c r="G33" s="782" t="s">
        <v>243</v>
      </c>
      <c r="H33" s="78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4" t="s">
        <v>1034</v>
      </c>
      <c r="Z33" s="78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2742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2906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2880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2664</v>
      </c>
      <c r="JM33" s="259">
        <f>SUM(JO23:JO27)</f>
        <v>251.23</v>
      </c>
      <c r="JN33" s="540">
        <v>40</v>
      </c>
      <c r="JO33" s="545" t="s">
        <v>2635</v>
      </c>
      <c r="JQ33" s="259"/>
      <c r="JT33" s="540">
        <v>10</v>
      </c>
      <c r="JU33" s="545" t="s">
        <v>1824</v>
      </c>
      <c r="JZ33" s="297" t="s">
        <v>3003</v>
      </c>
      <c r="KA33" s="202">
        <f>80+115</f>
        <v>195</v>
      </c>
      <c r="KD33" s="302" t="s">
        <v>2807</v>
      </c>
      <c r="KE33" s="259">
        <f>SUM(KG11:KG19)</f>
        <v>1038.25</v>
      </c>
      <c r="KF33" s="540">
        <v>70</v>
      </c>
      <c r="KG33" s="545" t="s">
        <v>1824</v>
      </c>
      <c r="KH33" s="325" t="s">
        <v>2841</v>
      </c>
      <c r="KI33" s="335">
        <v>52.8</v>
      </c>
      <c r="KL33" s="297" t="s">
        <v>3275</v>
      </c>
      <c r="KM33" s="335">
        <v>50.1</v>
      </c>
      <c r="KN33" s="325" t="s">
        <v>2945</v>
      </c>
      <c r="KO33" s="202">
        <v>16.3</v>
      </c>
      <c r="KR33" s="297" t="s">
        <v>3027</v>
      </c>
      <c r="KS33" s="335">
        <v>48.11</v>
      </c>
      <c r="KT33" s="325"/>
      <c r="KU33" s="202"/>
      <c r="KV33" s="617"/>
      <c r="KW33" s="616"/>
      <c r="KX33" s="297" t="s">
        <v>3061</v>
      </c>
      <c r="KY33" s="202">
        <v>10</v>
      </c>
      <c r="KZ33" s="594"/>
      <c r="LA33" s="202"/>
      <c r="LD33" s="297" t="s">
        <v>3122</v>
      </c>
      <c r="LE33" s="202">
        <f>530+3</f>
        <v>533</v>
      </c>
      <c r="LF33" s="620" t="s">
        <v>2981</v>
      </c>
      <c r="LH33" s="443" t="s">
        <v>2944</v>
      </c>
      <c r="LI33" s="259">
        <f>SUM(LK8:LK9)</f>
        <v>393.36</v>
      </c>
      <c r="LJ33" s="297" t="s">
        <v>3191</v>
      </c>
      <c r="LK33" s="335">
        <f>15.1+24.6</f>
        <v>39.700000000000003</v>
      </c>
      <c r="LL33" s="673" t="s">
        <v>3206</v>
      </c>
      <c r="LM33" s="202">
        <v>10184</v>
      </c>
      <c r="LN33" s="443" t="s">
        <v>2944</v>
      </c>
      <c r="LO33" s="202">
        <f>SUM(LQ10:LQ11)</f>
        <v>3219.09</v>
      </c>
      <c r="LP33" s="297" t="s">
        <v>3251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2613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2572</v>
      </c>
      <c r="JC34" s="202">
        <v>55</v>
      </c>
      <c r="JF34" s="297" t="s">
        <v>2664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2626</v>
      </c>
      <c r="JR34" s="309" t="s">
        <v>2703</v>
      </c>
      <c r="JS34" s="534">
        <v>100</v>
      </c>
      <c r="JT34" s="540">
        <v>10</v>
      </c>
      <c r="JU34" s="545" t="s">
        <v>2681</v>
      </c>
      <c r="JZ34" s="297" t="s">
        <v>2732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2850</v>
      </c>
      <c r="KI34" s="340">
        <v>104</v>
      </c>
      <c r="KL34" s="297" t="s">
        <v>2966</v>
      </c>
      <c r="KM34" s="335">
        <v>121.7</v>
      </c>
      <c r="KN34" s="325" t="s">
        <v>2946</v>
      </c>
      <c r="KO34" s="202">
        <v>52.8</v>
      </c>
      <c r="KR34" s="297" t="s">
        <v>3028</v>
      </c>
      <c r="KS34" s="335">
        <v>60.23</v>
      </c>
      <c r="KT34" s="325"/>
      <c r="KU34" s="202"/>
      <c r="KV34" s="606"/>
      <c r="KW34" s="605"/>
      <c r="KX34" s="297" t="s">
        <v>3060</v>
      </c>
      <c r="KY34" s="202">
        <v>13.5</v>
      </c>
      <c r="KZ34" s="325" t="s">
        <v>2981</v>
      </c>
      <c r="LD34" s="297" t="s">
        <v>3128</v>
      </c>
      <c r="LE34" s="202">
        <v>42.9</v>
      </c>
      <c r="LF34" s="620" t="s">
        <v>3126</v>
      </c>
      <c r="LH34" s="301" t="s">
        <v>3161</v>
      </c>
      <c r="LI34" s="259">
        <f>SUM(LK10:LK16)</f>
        <v>1005.08</v>
      </c>
      <c r="LJ34" s="297" t="s">
        <v>3181</v>
      </c>
      <c r="LK34" s="335">
        <v>50.36</v>
      </c>
      <c r="LL34" s="660" t="s">
        <v>3160</v>
      </c>
      <c r="LM34" s="202">
        <v>28.82</v>
      </c>
      <c r="LN34" s="301" t="s">
        <v>3161</v>
      </c>
      <c r="LO34" s="202">
        <f>SUM(LQ12:LQ15)</f>
        <v>1348.41</v>
      </c>
      <c r="LP34" s="297" t="s">
        <v>3272</v>
      </c>
      <c r="LQ34" s="335">
        <v>36.799999999999997</v>
      </c>
      <c r="LT34" s="202"/>
      <c r="LU34" s="702"/>
    </row>
    <row r="35" spans="1:333" ht="14.25" customHeight="1">
      <c r="A35" s="788"/>
      <c r="B35" s="788"/>
      <c r="E35" s="172" t="s">
        <v>403</v>
      </c>
      <c r="F35" s="170">
        <v>250</v>
      </c>
      <c r="G35" s="788"/>
      <c r="H35" s="788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2664</v>
      </c>
      <c r="JA35" s="259">
        <f>SUM(JC28:JC34)</f>
        <v>337.85099999999994</v>
      </c>
      <c r="JB35" s="340" t="s">
        <v>2907</v>
      </c>
      <c r="JC35" s="261">
        <v>16.87</v>
      </c>
      <c r="JH35" s="536" t="s">
        <v>1408</v>
      </c>
      <c r="JI35" s="537">
        <f>JE21+JG37-JK22</f>
        <v>100</v>
      </c>
      <c r="JL35" s="530" t="s">
        <v>2663</v>
      </c>
      <c r="JM35" s="534">
        <f>50+400+200+100</f>
        <v>750</v>
      </c>
      <c r="JN35" s="540">
        <v>9</v>
      </c>
      <c r="JO35" s="545" t="s">
        <v>2625</v>
      </c>
      <c r="JP35" s="340" t="s">
        <v>506</v>
      </c>
      <c r="JT35" s="540">
        <v>10</v>
      </c>
      <c r="JU35" s="545" t="s">
        <v>2689</v>
      </c>
      <c r="JZ35" s="297" t="s">
        <v>2780</v>
      </c>
      <c r="KA35" s="335">
        <v>10</v>
      </c>
      <c r="KD35" s="297" t="s">
        <v>2829</v>
      </c>
      <c r="KE35" s="548">
        <f>SUM(KG22:KG28)</f>
        <v>339.56</v>
      </c>
      <c r="KF35" s="540">
        <v>30</v>
      </c>
      <c r="KG35" s="545" t="s">
        <v>2827</v>
      </c>
      <c r="KH35" s="325" t="s">
        <v>2357</v>
      </c>
      <c r="KJ35" s="457" t="s">
        <v>2632</v>
      </c>
      <c r="KK35" s="457"/>
      <c r="KL35" s="340" t="s">
        <v>2912</v>
      </c>
      <c r="KM35" s="261">
        <v>400</v>
      </c>
      <c r="KN35" s="325" t="s">
        <v>2947</v>
      </c>
      <c r="KO35" s="202">
        <v>57.6</v>
      </c>
      <c r="KP35" s="457" t="s">
        <v>2632</v>
      </c>
      <c r="KQ35" s="457"/>
      <c r="KR35" s="297" t="s">
        <v>3274</v>
      </c>
      <c r="KS35" s="335">
        <v>40.4</v>
      </c>
      <c r="KT35" s="325" t="s">
        <v>2981</v>
      </c>
      <c r="KV35" s="605"/>
      <c r="KW35" s="605"/>
      <c r="KX35" s="297" t="s">
        <v>3075</v>
      </c>
      <c r="KY35" s="202">
        <f>12.5+36</f>
        <v>48.5</v>
      </c>
      <c r="KZ35" s="325" t="s">
        <v>3053</v>
      </c>
      <c r="LA35" s="285"/>
      <c r="LB35" s="615" t="s">
        <v>2632</v>
      </c>
      <c r="LC35" s="615"/>
      <c r="LD35" s="297" t="s">
        <v>3129</v>
      </c>
      <c r="LE35" s="202">
        <v>36.9</v>
      </c>
      <c r="LF35" s="616" t="s">
        <v>506</v>
      </c>
      <c r="LH35" s="256" t="s">
        <v>2952</v>
      </c>
      <c r="LI35" s="331">
        <f>SUM(LK17:LK19)</f>
        <v>685.72</v>
      </c>
      <c r="LJ35" s="297" t="s">
        <v>3183</v>
      </c>
      <c r="LK35" s="335">
        <v>172.3</v>
      </c>
      <c r="LL35" s="654" t="s">
        <v>3176</v>
      </c>
      <c r="LM35" s="202">
        <v>21.1</v>
      </c>
      <c r="LN35" s="256" t="s">
        <v>3267</v>
      </c>
      <c r="LO35" s="395">
        <f>SUM(LQ16:LQ17)</f>
        <v>168.17</v>
      </c>
      <c r="LP35" s="297" t="s">
        <v>3263</v>
      </c>
      <c r="LQ35" s="335">
        <v>38.9</v>
      </c>
      <c r="LT35" s="202"/>
      <c r="LU35" s="713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75" t="s">
        <v>1533</v>
      </c>
      <c r="DT36" s="776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3041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2580</v>
      </c>
      <c r="JN36" s="540">
        <v>10</v>
      </c>
      <c r="JO36" s="545" t="s">
        <v>2636</v>
      </c>
      <c r="JP36" s="340" t="s">
        <v>93</v>
      </c>
      <c r="JS36" s="484"/>
      <c r="JT36" s="340" t="s">
        <v>2712</v>
      </c>
      <c r="JU36" s="335">
        <v>139</v>
      </c>
      <c r="JZ36" s="297" t="s">
        <v>2756</v>
      </c>
      <c r="KA36" s="202">
        <f>45.73</f>
        <v>45.73</v>
      </c>
      <c r="KD36" s="309" t="s">
        <v>2842</v>
      </c>
      <c r="KE36" s="558">
        <v>100</v>
      </c>
      <c r="KF36" s="540">
        <v>6</v>
      </c>
      <c r="KG36" s="545" t="s">
        <v>2825</v>
      </c>
      <c r="KH36" s="325" t="s">
        <v>2860</v>
      </c>
      <c r="KI36" s="259">
        <v>194</v>
      </c>
      <c r="KJ36" s="442" t="s">
        <v>1924</v>
      </c>
      <c r="KK36" s="260">
        <f>SUM(KM6:KM6)</f>
        <v>1900.1</v>
      </c>
      <c r="KL36" s="217" t="s">
        <v>3177</v>
      </c>
      <c r="KM36" s="274">
        <f>166+85+79+40</f>
        <v>370</v>
      </c>
      <c r="KN36" s="325" t="s">
        <v>2913</v>
      </c>
      <c r="KO36" s="202"/>
      <c r="KP36" s="442" t="s">
        <v>1924</v>
      </c>
      <c r="KQ36" s="260">
        <f>SUM(KS6:KS7)</f>
        <v>3900.1099999999997</v>
      </c>
      <c r="KR36" s="297" t="s">
        <v>3030</v>
      </c>
      <c r="KS36" s="335">
        <f>30.8+1.8+1</f>
        <v>33.6</v>
      </c>
      <c r="KT36" s="325" t="s">
        <v>2980</v>
      </c>
      <c r="KU36" s="285"/>
      <c r="KV36" s="606"/>
      <c r="KW36" s="605"/>
      <c r="KX36" s="297" t="s">
        <v>3064</v>
      </c>
      <c r="KY36" s="202">
        <f>20+22+11+15+9+9</f>
        <v>86</v>
      </c>
      <c r="KZ36" s="325" t="s">
        <v>2648</v>
      </c>
      <c r="LB36" s="442" t="s">
        <v>1924</v>
      </c>
      <c r="LC36" s="260">
        <f>SUM(LE6:LE8)</f>
        <v>9900.01</v>
      </c>
      <c r="LD36" s="297" t="s">
        <v>3147</v>
      </c>
      <c r="LE36" s="335">
        <v>12</v>
      </c>
      <c r="LF36" s="616" t="s">
        <v>2990</v>
      </c>
      <c r="LH36" s="445" t="s">
        <v>2807</v>
      </c>
      <c r="LI36" s="259">
        <f>SUM(LK21:LK27)</f>
        <v>648.76</v>
      </c>
      <c r="LJ36" s="297" t="s">
        <v>3200</v>
      </c>
      <c r="LK36" s="335">
        <v>37.4</v>
      </c>
      <c r="LL36" s="651" t="s">
        <v>2981</v>
      </c>
      <c r="LN36" s="445" t="s">
        <v>2807</v>
      </c>
      <c r="LO36" s="202">
        <f>SUM(LQ20:LQ27)</f>
        <v>943.54000000000008</v>
      </c>
      <c r="LP36" s="297" t="s">
        <v>3278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2598</v>
      </c>
      <c r="JG37" s="534">
        <v>200</v>
      </c>
      <c r="JH37" s="540">
        <v>8</v>
      </c>
      <c r="JI37" s="545" t="s">
        <v>2583</v>
      </c>
      <c r="JN37" s="540">
        <v>192.7</v>
      </c>
      <c r="JO37" s="545" t="s">
        <v>2662</v>
      </c>
      <c r="JP37" s="340" t="s">
        <v>1034</v>
      </c>
      <c r="JS37" s="484"/>
      <c r="JT37" s="412" t="s">
        <v>2723</v>
      </c>
      <c r="JU37" s="413">
        <v>5.35</v>
      </c>
      <c r="JZ37" s="297" t="s">
        <v>2762</v>
      </c>
      <c r="KA37" s="335">
        <v>33.03</v>
      </c>
      <c r="KF37" s="540">
        <v>25.9</v>
      </c>
      <c r="KG37" s="545" t="s">
        <v>2852</v>
      </c>
      <c r="KJ37" s="312" t="s">
        <v>2956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2956</v>
      </c>
      <c r="KQ37" s="260">
        <f>SUM(KS17:KS17)</f>
        <v>1223.29</v>
      </c>
      <c r="KR37" s="297" t="s">
        <v>3047</v>
      </c>
      <c r="KS37" s="335">
        <f>7.5+7.5</f>
        <v>15</v>
      </c>
      <c r="KT37" s="325" t="s">
        <v>3045</v>
      </c>
      <c r="KX37" s="297" t="s">
        <v>3083</v>
      </c>
      <c r="KY37" s="202">
        <v>707.68</v>
      </c>
      <c r="KZ37" s="340" t="s">
        <v>506</v>
      </c>
      <c r="LB37" s="312" t="s">
        <v>2956</v>
      </c>
      <c r="LC37" s="260">
        <f>SUM(LE20:LE21)</f>
        <v>11479</v>
      </c>
      <c r="LD37" s="297" t="s">
        <v>3133</v>
      </c>
      <c r="LE37" s="335">
        <f>34.12+23.77</f>
        <v>57.89</v>
      </c>
      <c r="LF37" s="616" t="s">
        <v>2989</v>
      </c>
      <c r="LH37" s="297" t="s">
        <v>2125</v>
      </c>
      <c r="LI37" s="259">
        <f>SUM(LK28:LK37)</f>
        <v>481.59999999999997</v>
      </c>
      <c r="LJ37" s="297" t="s">
        <v>3198</v>
      </c>
      <c r="LK37" s="335">
        <v>6.5</v>
      </c>
      <c r="LL37" s="651" t="s">
        <v>3126</v>
      </c>
      <c r="LN37" s="297" t="s">
        <v>2125</v>
      </c>
      <c r="LO37" s="202">
        <f>SUM(LQ28:LQ37)</f>
        <v>763.64</v>
      </c>
      <c r="LP37" s="297" t="s">
        <v>1859</v>
      </c>
      <c r="LQ37" s="335"/>
      <c r="LR37" s="682" t="s">
        <v>2981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2629</v>
      </c>
      <c r="JT38" s="406" t="s">
        <v>2682</v>
      </c>
      <c r="JU38" s="405">
        <v>2.2000000000000002</v>
      </c>
      <c r="JZ38" s="297" t="s">
        <v>2731</v>
      </c>
      <c r="KA38" s="202">
        <f>48.9</f>
        <v>48.9</v>
      </c>
      <c r="KF38" s="559" t="s">
        <v>2844</v>
      </c>
      <c r="KG38" s="488">
        <v>70</v>
      </c>
      <c r="KJ38" s="443" t="s">
        <v>2944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2951</v>
      </c>
      <c r="KQ38" s="259">
        <f>SUM(KS8:KS13)</f>
        <v>1643.11</v>
      </c>
      <c r="KR38" s="340" t="s">
        <v>2912</v>
      </c>
      <c r="KS38" s="261">
        <v>40</v>
      </c>
      <c r="KT38" s="325" t="s">
        <v>2648</v>
      </c>
      <c r="KW38" s="285"/>
      <c r="KX38" s="297" t="s">
        <v>3252</v>
      </c>
      <c r="KY38" s="202">
        <f>1264.52+12.65</f>
        <v>1277.17</v>
      </c>
      <c r="KZ38" s="340" t="s">
        <v>2990</v>
      </c>
      <c r="LB38" s="443" t="s">
        <v>2944</v>
      </c>
      <c r="LC38" s="259">
        <f>SUM(LE9:LE12)</f>
        <v>3622.06</v>
      </c>
      <c r="LD38" s="297" t="s">
        <v>3134</v>
      </c>
      <c r="LE38" s="335">
        <f>7.5*2+38.7</f>
        <v>53.7</v>
      </c>
      <c r="LF38" s="616" t="s">
        <v>2988</v>
      </c>
      <c r="LH38" s="297" t="s">
        <v>2829</v>
      </c>
      <c r="LI38" s="548">
        <f>SUM(LK30:LK37)</f>
        <v>456.59999999999997</v>
      </c>
      <c r="LJ38" s="217" t="s">
        <v>3177</v>
      </c>
      <c r="LK38" s="274">
        <f>97+232+92</f>
        <v>421</v>
      </c>
      <c r="LL38" s="648" t="s">
        <v>506</v>
      </c>
      <c r="LN38" s="297" t="s">
        <v>2829</v>
      </c>
      <c r="LO38" s="700">
        <f>SUM(LQ31:LQ37)</f>
        <v>275.81000000000006</v>
      </c>
      <c r="LP38" s="217" t="s">
        <v>3177</v>
      </c>
      <c r="LQ38" s="274">
        <f>356+144+135</f>
        <v>635</v>
      </c>
      <c r="LR38" s="682" t="s">
        <v>3258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70" t="s">
        <v>1435</v>
      </c>
      <c r="DJ39" s="770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2613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2595</v>
      </c>
      <c r="JM39" s="484"/>
      <c r="JN39" s="540">
        <v>10</v>
      </c>
      <c r="JO39" s="218" t="s">
        <v>2630</v>
      </c>
      <c r="JS39" s="561" t="s">
        <v>2724</v>
      </c>
      <c r="JT39" s="406" t="s">
        <v>2701</v>
      </c>
      <c r="JU39" s="405">
        <v>89.39</v>
      </c>
      <c r="JX39" s="457" t="s">
        <v>2632</v>
      </c>
      <c r="JY39" s="457"/>
      <c r="JZ39" s="297" t="s">
        <v>2740</v>
      </c>
      <c r="KA39" s="335">
        <v>31</v>
      </c>
      <c r="KF39" s="562" t="s">
        <v>2881</v>
      </c>
      <c r="KG39" s="340">
        <v>324</v>
      </c>
      <c r="KH39" s="340" t="s">
        <v>506</v>
      </c>
      <c r="KJ39" s="301" t="s">
        <v>2951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2952</v>
      </c>
      <c r="KQ39" s="331">
        <f>SUM(KS14:KS16)</f>
        <v>325.95000000000005</v>
      </c>
      <c r="KR39" s="217" t="s">
        <v>3177</v>
      </c>
      <c r="KS39" s="274">
        <v>547</v>
      </c>
      <c r="KT39" s="340" t="s">
        <v>506</v>
      </c>
      <c r="KX39" s="297" t="s">
        <v>3109</v>
      </c>
      <c r="KY39" s="335">
        <v>31.96</v>
      </c>
      <c r="KZ39" s="340" t="s">
        <v>2989</v>
      </c>
      <c r="LB39" s="301" t="s">
        <v>2951</v>
      </c>
      <c r="LC39" s="259">
        <f>SUM(LE13:LE17)</f>
        <v>825.89</v>
      </c>
      <c r="LD39" s="297" t="s">
        <v>3136</v>
      </c>
      <c r="LE39" s="335">
        <v>32.5</v>
      </c>
      <c r="LF39" s="614" t="s">
        <v>2928</v>
      </c>
      <c r="LJ39" s="535">
        <v>22.09</v>
      </c>
      <c r="LK39" s="274"/>
      <c r="LL39" s="648" t="s">
        <v>2990</v>
      </c>
      <c r="LP39" s="535">
        <v>35.700000000000003</v>
      </c>
      <c r="LQ39" s="274"/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7" t="s">
        <v>2131</v>
      </c>
      <c r="II40" s="767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2599</v>
      </c>
      <c r="JM40" s="484"/>
      <c r="JN40" s="540">
        <f>86*3+96</f>
        <v>354</v>
      </c>
      <c r="JO40" s="218" t="s">
        <v>2631</v>
      </c>
      <c r="JT40" s="404" t="s">
        <v>2683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2766</v>
      </c>
      <c r="KA40" s="335">
        <v>13.15</v>
      </c>
      <c r="KF40" s="234" t="s">
        <v>2828</v>
      </c>
      <c r="KG40" s="340">
        <v>39.700000000000003</v>
      </c>
      <c r="KH40" s="340" t="s">
        <v>93</v>
      </c>
      <c r="KJ40" s="254" t="s">
        <v>2952</v>
      </c>
      <c r="KK40" s="331">
        <f>SUM(KM10:KM13)</f>
        <v>451.43999999999994</v>
      </c>
      <c r="KL40" s="540">
        <v>6</v>
      </c>
      <c r="KM40" s="545" t="s">
        <v>2920</v>
      </c>
      <c r="KN40" s="340" t="s">
        <v>506</v>
      </c>
      <c r="KP40" s="445" t="s">
        <v>2807</v>
      </c>
      <c r="KQ40" s="259">
        <f>SUM(KS18:KS27)</f>
        <v>1009.24</v>
      </c>
      <c r="KR40" s="535">
        <v>25.54</v>
      </c>
      <c r="KS40" s="274"/>
      <c r="KT40" s="340" t="s">
        <v>2990</v>
      </c>
      <c r="KX40" s="297" t="s">
        <v>3089</v>
      </c>
      <c r="KY40" s="202">
        <f>21.3+22.3</f>
        <v>43.6</v>
      </c>
      <c r="KZ40" s="340" t="s">
        <v>2988</v>
      </c>
      <c r="LB40" s="254" t="s">
        <v>2952</v>
      </c>
      <c r="LC40" s="331">
        <f>SUM(LE18:LE19)</f>
        <v>135.16</v>
      </c>
      <c r="LD40" s="217" t="s">
        <v>3177</v>
      </c>
      <c r="LE40" s="274">
        <f>385+59</f>
        <v>444</v>
      </c>
      <c r="LH40" s="309" t="s">
        <v>3197</v>
      </c>
      <c r="LI40" s="558">
        <v>300</v>
      </c>
      <c r="LJ40" s="536" t="s">
        <v>1408</v>
      </c>
      <c r="LK40" s="537">
        <f>LG23+LI40-LM23</f>
        <v>250</v>
      </c>
      <c r="LL40" s="648" t="s">
        <v>2989</v>
      </c>
      <c r="LN40" s="309" t="s">
        <v>3235</v>
      </c>
      <c r="LO40" s="701">
        <v>600</v>
      </c>
      <c r="LP40" s="536"/>
      <c r="LQ40" s="537">
        <f>LM23+LO40-LS24</f>
        <v>660</v>
      </c>
      <c r="LR40" s="679" t="s">
        <v>2990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2623</v>
      </c>
      <c r="JO41" s="335">
        <v>7.5</v>
      </c>
      <c r="JT41" s="406" t="s">
        <v>2694</v>
      </c>
      <c r="JU41" s="405">
        <v>18.8</v>
      </c>
      <c r="JX41" s="312" t="s">
        <v>2950</v>
      </c>
      <c r="JY41" s="260">
        <f>SUM(KA20:KA23)</f>
        <v>6114.74</v>
      </c>
      <c r="JZ41" s="297" t="s">
        <v>2763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2807</v>
      </c>
      <c r="KK41" s="259">
        <f>SUM(KM18:KM25)</f>
        <v>714.36400000000003</v>
      </c>
      <c r="KL41" s="540">
        <v>10</v>
      </c>
      <c r="KM41" s="545" t="s">
        <v>2919</v>
      </c>
      <c r="KN41" s="785" t="s">
        <v>2928</v>
      </c>
      <c r="KO41" s="785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2989</v>
      </c>
      <c r="KX41" s="297" t="s">
        <v>3090</v>
      </c>
      <c r="KY41" s="202">
        <f>42.17+45.14</f>
        <v>87.31</v>
      </c>
      <c r="KZ41" s="285" t="s">
        <v>2928</v>
      </c>
      <c r="LB41" s="445" t="s">
        <v>2807</v>
      </c>
      <c r="LC41" s="259">
        <f>SUM(LE22:LE31)</f>
        <v>1073.1600000000001</v>
      </c>
      <c r="LD41" s="535">
        <v>58.81</v>
      </c>
      <c r="LE41" s="274"/>
      <c r="LF41" s="616" t="s">
        <v>2926</v>
      </c>
      <c r="LJ41" s="540">
        <v>40</v>
      </c>
      <c r="LK41" s="553" t="s">
        <v>3157</v>
      </c>
      <c r="LL41" s="648" t="s">
        <v>2988</v>
      </c>
      <c r="LP41" s="540">
        <v>600</v>
      </c>
      <c r="LQ41" s="537" t="s">
        <v>3249</v>
      </c>
      <c r="LR41" s="679" t="s">
        <v>2989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2582</v>
      </c>
      <c r="JI42" s="335">
        <v>751</v>
      </c>
      <c r="JM42" s="555"/>
      <c r="JN42" s="507" t="s">
        <v>1383</v>
      </c>
      <c r="JO42" s="335">
        <v>15.79</v>
      </c>
      <c r="JT42" s="406" t="s">
        <v>2687</v>
      </c>
      <c r="JU42" s="405">
        <v>89.8</v>
      </c>
      <c r="JX42" s="304" t="s">
        <v>1389</v>
      </c>
      <c r="JY42" s="259">
        <f>KA10</f>
        <v>5.99</v>
      </c>
      <c r="JZ42" s="297" t="s">
        <v>2765</v>
      </c>
      <c r="KA42" s="335">
        <v>10.5</v>
      </c>
      <c r="KE42" s="285"/>
      <c r="KF42" s="234" t="s">
        <v>2838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2918</v>
      </c>
      <c r="KP42" s="297" t="s">
        <v>2829</v>
      </c>
      <c r="KQ42" s="548">
        <f>SUM(KS30:KS37)</f>
        <v>271.73</v>
      </c>
      <c r="KR42" s="540">
        <v>45</v>
      </c>
      <c r="KS42" s="553" t="s">
        <v>2174</v>
      </c>
      <c r="KT42" s="340" t="s">
        <v>2988</v>
      </c>
      <c r="KV42" s="457" t="s">
        <v>2632</v>
      </c>
      <c r="KW42" s="457"/>
      <c r="KX42" s="297" t="s">
        <v>3273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2927</v>
      </c>
      <c r="LI42" s="652"/>
      <c r="LJ42" s="540">
        <v>10</v>
      </c>
      <c r="LK42" s="545" t="s">
        <v>3158</v>
      </c>
      <c r="LL42" s="652" t="s">
        <v>2928</v>
      </c>
      <c r="LO42" s="286"/>
      <c r="LP42" s="540">
        <v>40</v>
      </c>
      <c r="LQ42" s="553" t="s">
        <v>3254</v>
      </c>
      <c r="LR42" s="679" t="s">
        <v>2988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2800</v>
      </c>
      <c r="KA43" s="202">
        <f>47.8+1.2+2.5+3.2</f>
        <v>54.7</v>
      </c>
      <c r="KE43" s="285" t="s">
        <v>2724</v>
      </c>
      <c r="KF43" s="234" t="s">
        <v>2824</v>
      </c>
      <c r="KG43" s="340">
        <v>37.700000000000003</v>
      </c>
      <c r="KJ43" s="297" t="s">
        <v>2829</v>
      </c>
      <c r="KK43" s="548">
        <f>SUM(KM28:KM34)</f>
        <v>362.27</v>
      </c>
      <c r="KL43" s="540">
        <v>100</v>
      </c>
      <c r="KM43" s="545" t="s">
        <v>2916</v>
      </c>
      <c r="KN43" s="340" t="s">
        <v>2926</v>
      </c>
      <c r="KR43" s="540">
        <v>12.4</v>
      </c>
      <c r="KS43" s="545" t="s">
        <v>2996</v>
      </c>
      <c r="KT43" s="285" t="s">
        <v>2928</v>
      </c>
      <c r="KV43" s="442" t="s">
        <v>1924</v>
      </c>
      <c r="KW43" s="260">
        <f>SUM(KY6:KY7)</f>
        <v>1950.12</v>
      </c>
      <c r="KX43" s="297" t="s">
        <v>3110</v>
      </c>
      <c r="KY43" s="202">
        <v>6</v>
      </c>
      <c r="KZ43" s="340" t="s">
        <v>2926</v>
      </c>
      <c r="LB43" s="297" t="s">
        <v>2829</v>
      </c>
      <c r="LC43" s="548">
        <f>SUM(LE34:LE39)</f>
        <v>235.89</v>
      </c>
      <c r="LD43" s="540">
        <v>22.2</v>
      </c>
      <c r="LE43" s="553" t="s">
        <v>3114</v>
      </c>
      <c r="LI43" s="652"/>
      <c r="LJ43" s="540">
        <v>30</v>
      </c>
      <c r="LK43" s="545" t="s">
        <v>3164</v>
      </c>
      <c r="LO43" s="286"/>
      <c r="LP43" s="540">
        <v>10</v>
      </c>
      <c r="LQ43" s="553" t="s">
        <v>1012</v>
      </c>
      <c r="LR43" s="683" t="s">
        <v>2928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2548</v>
      </c>
      <c r="JG44" s="484"/>
      <c r="JH44" s="325" t="s">
        <v>1615</v>
      </c>
      <c r="JI44" s="335">
        <v>12.34</v>
      </c>
      <c r="JN44" s="325" t="s">
        <v>2667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2789</v>
      </c>
      <c r="KA44" s="335">
        <v>26.5</v>
      </c>
      <c r="KE44" s="285"/>
      <c r="KF44" s="234" t="s">
        <v>2823</v>
      </c>
      <c r="KG44" s="340">
        <v>35.25</v>
      </c>
      <c r="KL44" s="540">
        <v>9</v>
      </c>
      <c r="KM44" s="545" t="s">
        <v>2917</v>
      </c>
      <c r="KN44" s="340" t="s">
        <v>2927</v>
      </c>
      <c r="KP44" s="309" t="s">
        <v>3000</v>
      </c>
      <c r="KQ44" s="558">
        <v>100</v>
      </c>
      <c r="KR44" s="540">
        <v>10</v>
      </c>
      <c r="KS44" s="545" t="s">
        <v>3043</v>
      </c>
      <c r="KV44" s="312" t="s">
        <v>2956</v>
      </c>
      <c r="KW44" s="260">
        <f>SUM(KY23:KY23)</f>
        <v>1196.72</v>
      </c>
      <c r="KX44" s="297" t="s">
        <v>3111</v>
      </c>
      <c r="KY44" s="202">
        <v>7.9</v>
      </c>
      <c r="KZ44" s="340" t="s">
        <v>2927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2926</v>
      </c>
      <c r="LP44" s="695" t="s">
        <v>3233</v>
      </c>
      <c r="LQ44" s="488">
        <f>212.55-160-14.41</f>
        <v>38.140000000000015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2893</v>
      </c>
      <c r="JI45" s="335">
        <v>65</v>
      </c>
      <c r="JN45" s="340" t="s">
        <v>2666</v>
      </c>
      <c r="JO45" s="335">
        <v>120.36</v>
      </c>
      <c r="JT45" s="568" t="s">
        <v>2725</v>
      </c>
      <c r="JU45" s="409">
        <v>27.83</v>
      </c>
      <c r="JX45" s="297" t="s">
        <v>2125</v>
      </c>
      <c r="JY45" s="259">
        <f>SUM(KA33:KA44)</f>
        <v>681.71</v>
      </c>
      <c r="JZ45" s="340" t="s">
        <v>2903</v>
      </c>
      <c r="KA45" s="261">
        <f>8+61+1</f>
        <v>70</v>
      </c>
      <c r="KE45" s="285"/>
      <c r="KF45" s="569" t="s">
        <v>2839</v>
      </c>
      <c r="KG45" s="340">
        <v>98.58</v>
      </c>
      <c r="KJ45" s="309" t="s">
        <v>2930</v>
      </c>
      <c r="KK45" s="558">
        <v>250</v>
      </c>
      <c r="KL45" s="540">
        <v>10</v>
      </c>
      <c r="KM45" s="545" t="s">
        <v>2924</v>
      </c>
      <c r="KR45" s="540">
        <f>10+10+5+5</f>
        <v>30</v>
      </c>
      <c r="KS45" s="545" t="s">
        <v>3044</v>
      </c>
      <c r="KT45" s="340" t="s">
        <v>2926</v>
      </c>
      <c r="KV45" s="443" t="s">
        <v>2944</v>
      </c>
      <c r="KW45" s="259">
        <v>0</v>
      </c>
      <c r="KX45" s="297" t="s">
        <v>3099</v>
      </c>
      <c r="KY45" s="335">
        <f>40.5+66.1</f>
        <v>106.6</v>
      </c>
      <c r="LB45" s="309" t="s">
        <v>3140</v>
      </c>
      <c r="LC45" s="558">
        <v>200</v>
      </c>
      <c r="LD45" s="540">
        <v>20</v>
      </c>
      <c r="LE45" s="545" t="s">
        <v>3155</v>
      </c>
      <c r="LJ45" s="540">
        <v>13</v>
      </c>
      <c r="LK45" s="545" t="s">
        <v>3184</v>
      </c>
      <c r="LL45" s="648" t="s">
        <v>2927</v>
      </c>
      <c r="LP45" s="696" t="s">
        <v>3243</v>
      </c>
      <c r="LQ45" s="679">
        <v>300</v>
      </c>
      <c r="LR45" s="679" t="s">
        <v>2926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2576</v>
      </c>
      <c r="JI46" s="335">
        <v>13.3</v>
      </c>
      <c r="JN46" s="507" t="s">
        <v>2653</v>
      </c>
      <c r="JO46" s="335">
        <v>2.79</v>
      </c>
      <c r="JT46" s="568" t="s">
        <v>2706</v>
      </c>
      <c r="JU46" s="409">
        <v>8.61</v>
      </c>
      <c r="JX46" s="297" t="s">
        <v>2829</v>
      </c>
      <c r="JY46" s="259">
        <f>SUM(KA36:KA44)</f>
        <v>301.70999999999998</v>
      </c>
      <c r="JZ46" s="340" t="s">
        <v>2904</v>
      </c>
      <c r="KA46" s="261">
        <v>300</v>
      </c>
      <c r="KE46" s="285"/>
      <c r="KL46" s="540">
        <v>20</v>
      </c>
      <c r="KM46" s="545" t="s">
        <v>2955</v>
      </c>
      <c r="KQ46" s="285"/>
      <c r="KR46" s="340" t="s">
        <v>3001</v>
      </c>
      <c r="KS46" s="340">
        <v>120</v>
      </c>
      <c r="KT46" s="340" t="s">
        <v>2927</v>
      </c>
      <c r="KV46" s="301" t="s">
        <v>2951</v>
      </c>
      <c r="KW46" s="259">
        <f>SUM(KY8:KY13)</f>
        <v>1272.93</v>
      </c>
      <c r="KX46" s="297" t="s">
        <v>3098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3219</v>
      </c>
      <c r="LP46" s="679" t="s">
        <v>3248</v>
      </c>
      <c r="LQ46" s="679">
        <v>27.5</v>
      </c>
      <c r="LR46" s="679" t="s">
        <v>2927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2552</v>
      </c>
      <c r="JC47" s="335">
        <v>36.9</v>
      </c>
      <c r="JH47" s="337" t="s">
        <v>2617</v>
      </c>
      <c r="JI47" s="308">
        <v>3</v>
      </c>
      <c r="JN47" s="325" t="s">
        <v>2671</v>
      </c>
      <c r="JO47" s="335">
        <v>8.5500000000000007</v>
      </c>
      <c r="JT47" s="568" t="s">
        <v>2707</v>
      </c>
      <c r="JU47" s="409">
        <v>19.46</v>
      </c>
      <c r="JZ47" s="217" t="s">
        <v>3177</v>
      </c>
      <c r="KA47" s="274">
        <f>670+187</f>
        <v>857</v>
      </c>
      <c r="KE47" s="285"/>
      <c r="KK47" s="285"/>
      <c r="KL47" s="540">
        <v>24</v>
      </c>
      <c r="KM47" s="545" t="s">
        <v>2931</v>
      </c>
      <c r="KQ47" s="285"/>
      <c r="KR47" s="340" t="s">
        <v>2997</v>
      </c>
      <c r="KS47" s="340">
        <v>82.45</v>
      </c>
      <c r="KV47" s="254" t="s">
        <v>2952</v>
      </c>
      <c r="KW47" s="622">
        <f>SUM(KY14:KY22)</f>
        <v>1574</v>
      </c>
      <c r="KX47" s="340" t="s">
        <v>2912</v>
      </c>
      <c r="KY47" s="261">
        <f>400+110</f>
        <v>510</v>
      </c>
      <c r="LB47" s="616" t="s">
        <v>3066</v>
      </c>
      <c r="LC47" s="614"/>
      <c r="LD47" s="540">
        <v>7</v>
      </c>
      <c r="LE47" s="545" t="s">
        <v>3130</v>
      </c>
      <c r="LJ47" s="540">
        <v>50</v>
      </c>
      <c r="LK47" s="218" t="s">
        <v>2955</v>
      </c>
      <c r="LP47" s="707" t="s">
        <v>3259</v>
      </c>
      <c r="LQ47" s="706">
        <v>21.1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2576</v>
      </c>
      <c r="JC48" s="335">
        <v>13.3</v>
      </c>
      <c r="JH48" s="337"/>
      <c r="JI48" s="337"/>
      <c r="JN48" s="325" t="s">
        <v>2672</v>
      </c>
      <c r="JO48" s="335">
        <v>10.35</v>
      </c>
      <c r="JS48" s="562" t="s">
        <v>2719</v>
      </c>
      <c r="JT48" s="568" t="s">
        <v>2709</v>
      </c>
      <c r="JU48" s="410">
        <f>5.42+0.41+0.58+2.33+0.29+0.28+0.26+1.45+0.29+4.73+1.54</f>
        <v>17.579999999999998</v>
      </c>
      <c r="JZ48" s="535">
        <v>47.04</v>
      </c>
      <c r="KA48" s="274" t="s">
        <v>2801</v>
      </c>
      <c r="KK48" s="285"/>
      <c r="KL48" s="540">
        <v>8</v>
      </c>
      <c r="KM48" s="545" t="s">
        <v>2958</v>
      </c>
      <c r="KR48" s="559" t="s">
        <v>3006</v>
      </c>
      <c r="KS48" s="488">
        <v>50</v>
      </c>
      <c r="KV48" s="445" t="s">
        <v>2807</v>
      </c>
      <c r="KW48" s="259">
        <f>SUM(KY24:KY31)</f>
        <v>699.97</v>
      </c>
      <c r="KX48" s="217" t="s">
        <v>3177</v>
      </c>
      <c r="KY48" s="274">
        <f>194+179+2</f>
        <v>375</v>
      </c>
      <c r="LB48" s="616" t="s">
        <v>3067</v>
      </c>
      <c r="LC48" s="614"/>
      <c r="LD48" s="540">
        <v>30</v>
      </c>
      <c r="LE48" s="545" t="s">
        <v>3153</v>
      </c>
      <c r="LJ48" s="540">
        <v>40</v>
      </c>
      <c r="LK48" s="218" t="s">
        <v>3210</v>
      </c>
      <c r="LP48" s="707" t="s">
        <v>3270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69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2613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2673</v>
      </c>
      <c r="JO49" s="335">
        <v>15.000999999999999</v>
      </c>
      <c r="JS49" s="565" t="s">
        <v>2720</v>
      </c>
      <c r="JT49" s="568" t="s">
        <v>2711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2939</v>
      </c>
      <c r="KM49" s="340">
        <v>7.2</v>
      </c>
      <c r="KR49" s="340" t="s">
        <v>3029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3113</v>
      </c>
      <c r="LE49" s="488">
        <f>7.77+2.71</f>
        <v>10.48</v>
      </c>
      <c r="LJ49" s="654" t="s">
        <v>3204</v>
      </c>
      <c r="LK49" s="202">
        <v>28.72</v>
      </c>
      <c r="LP49" s="724" t="s">
        <v>3301</v>
      </c>
      <c r="LQ49" s="488">
        <v>5.5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69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2674</v>
      </c>
      <c r="JO50" s="308">
        <v>7.67</v>
      </c>
      <c r="JS50" s="571"/>
      <c r="JT50" s="572" t="s">
        <v>2713</v>
      </c>
      <c r="JU50" s="410">
        <v>21.27</v>
      </c>
      <c r="JZ50" s="540">
        <v>34</v>
      </c>
      <c r="KA50" s="553" t="s">
        <v>2802</v>
      </c>
      <c r="KG50" s="204"/>
      <c r="KL50" s="340" t="s">
        <v>2937</v>
      </c>
      <c r="KM50" s="340">
        <v>32.4</v>
      </c>
      <c r="KR50" s="217" t="s">
        <v>3014</v>
      </c>
      <c r="KS50" s="204">
        <v>25.8</v>
      </c>
      <c r="KV50" s="297" t="s">
        <v>2829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3120</v>
      </c>
      <c r="LE50" s="616">
        <v>6.3</v>
      </c>
      <c r="LJ50" s="673" t="s">
        <v>3205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69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2675</v>
      </c>
      <c r="JO51" s="308">
        <v>3</v>
      </c>
      <c r="JT51" s="573" t="s">
        <v>2710</v>
      </c>
      <c r="JU51" s="411"/>
      <c r="JZ51" s="540">
        <v>25</v>
      </c>
      <c r="KA51" s="545" t="s">
        <v>2733</v>
      </c>
      <c r="KL51" s="559" t="s">
        <v>2938</v>
      </c>
      <c r="KM51" s="453">
        <v>1746</v>
      </c>
      <c r="KR51" s="559" t="s">
        <v>3033</v>
      </c>
      <c r="KS51" s="488">
        <v>19.07</v>
      </c>
      <c r="KX51" s="540">
        <v>20</v>
      </c>
      <c r="KY51" s="553" t="s">
        <v>3052</v>
      </c>
      <c r="LD51" s="559" t="s">
        <v>3119</v>
      </c>
      <c r="LE51" s="488">
        <v>6.8</v>
      </c>
      <c r="LJ51" s="559" t="s">
        <v>3170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69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3073</v>
      </c>
      <c r="KW52" s="558">
        <v>200</v>
      </c>
      <c r="KX52" s="540">
        <v>10</v>
      </c>
      <c r="KY52" s="545" t="s">
        <v>3054</v>
      </c>
      <c r="LD52" s="616" t="s">
        <v>3135</v>
      </c>
      <c r="LE52" s="616">
        <f>53.6+6.5</f>
        <v>60.1</v>
      </c>
      <c r="LJ52" s="648" t="s">
        <v>3169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2790</v>
      </c>
      <c r="JY53" s="534">
        <v>200</v>
      </c>
      <c r="JZ53" s="575">
        <v>20</v>
      </c>
      <c r="KA53" s="576" t="s">
        <v>2738</v>
      </c>
      <c r="KL53" s="559"/>
      <c r="KM53" s="488"/>
      <c r="KX53" s="540">
        <v>10</v>
      </c>
      <c r="KY53" s="545" t="s">
        <v>1824</v>
      </c>
      <c r="LD53" s="616" t="s">
        <v>3150</v>
      </c>
      <c r="LE53" s="616">
        <v>70</v>
      </c>
      <c r="LJ53" s="667" t="s">
        <v>3171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2767</v>
      </c>
      <c r="KS54" s="204"/>
      <c r="KW54" s="285"/>
      <c r="KX54" s="540">
        <v>40</v>
      </c>
      <c r="KY54" s="545" t="s">
        <v>3100</v>
      </c>
      <c r="LE54" s="617"/>
      <c r="LJ54" s="648" t="s">
        <v>3175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2769</v>
      </c>
      <c r="KW55" s="285"/>
      <c r="KX55" s="540">
        <v>20</v>
      </c>
      <c r="KY55" s="545" t="s">
        <v>3085</v>
      </c>
      <c r="LJ55" s="674" t="s">
        <v>3209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2768</v>
      </c>
      <c r="KM56" s="204"/>
      <c r="KX56" s="540">
        <v>10</v>
      </c>
      <c r="KY56" s="545" t="s">
        <v>3084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3075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2772</v>
      </c>
      <c r="KA58" s="340">
        <v>31.001000000000001</v>
      </c>
      <c r="KX58" s="540">
        <v>8</v>
      </c>
      <c r="KY58" s="545" t="s">
        <v>3081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2874</v>
      </c>
      <c r="KA59" s="441">
        <f>30/5.217</f>
        <v>5.7504312823461765</v>
      </c>
      <c r="KC59" s="398"/>
      <c r="KX59" s="540">
        <v>10</v>
      </c>
      <c r="KY59" s="545" t="s">
        <v>3082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2770</v>
      </c>
      <c r="KA60" s="340">
        <v>21.81</v>
      </c>
      <c r="KX60" s="540">
        <v>40</v>
      </c>
      <c r="KY60" s="545" t="s">
        <v>3088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2804</v>
      </c>
      <c r="KA61" s="340">
        <v>11.25</v>
      </c>
      <c r="KX61" s="559" t="s">
        <v>3065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2731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2758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2752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2787</v>
      </c>
      <c r="KA65" s="340">
        <v>9.77</v>
      </c>
      <c r="LT65" s="202"/>
    </row>
    <row r="66" spans="205:332">
      <c r="IJ66" s="500"/>
      <c r="IK66" s="486"/>
      <c r="IP66" s="507"/>
      <c r="JZ66" s="340" t="s">
        <v>2786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2788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2724</v>
      </c>
      <c r="JZ68" s="220" t="s">
        <v>2739</v>
      </c>
      <c r="KA68" s="340">
        <v>69</v>
      </c>
    </row>
    <row r="69" spans="205:332">
      <c r="HO69" s="398"/>
      <c r="IG69" s="398"/>
      <c r="IJ69" s="507"/>
      <c r="JZ69" s="220" t="s">
        <v>2759</v>
      </c>
      <c r="KA69" s="340">
        <v>8</v>
      </c>
    </row>
    <row r="70" spans="205:332">
      <c r="IJ70" s="507"/>
      <c r="JZ70" s="581" t="s">
        <v>2803</v>
      </c>
      <c r="KA70" s="204">
        <v>29.7</v>
      </c>
    </row>
    <row r="71" spans="205:332">
      <c r="IJ71" s="507"/>
      <c r="JZ71" s="220" t="s">
        <v>2771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10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2024-02-27T09:33:09Z</dcterms:modified>
</cp:coreProperties>
</file>