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540" yWindow="-120" windowWidth="28380" windowHeight="16440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62913"/>
</workbook>
</file>

<file path=xl/calcChain.xml><?xml version="1.0" encoding="utf-8"?>
<calcChain xmlns="http://schemas.openxmlformats.org/spreadsheetml/2006/main">
  <c r="KO9" i="32" l="1"/>
  <c r="KK28" i="32" l="1"/>
  <c r="KK43" i="32" l="1"/>
  <c r="KM41" i="32" l="1"/>
  <c r="KM28" i="32" l="1"/>
  <c r="KM27" i="32"/>
  <c r="KM21" i="32"/>
  <c r="KM22" i="32"/>
  <c r="KM19" i="32" s="1"/>
  <c r="KM20" i="32" l="1"/>
  <c r="KK40" i="32" s="1"/>
  <c r="KM32" i="32"/>
  <c r="KK45" i="32" l="1"/>
  <c r="KM31" i="32" l="1"/>
  <c r="KK19" i="32"/>
  <c r="KK44" i="32" l="1"/>
  <c r="KG10" i="32"/>
  <c r="KK27" i="32" l="1"/>
  <c r="KE35" i="32" l="1"/>
  <c r="KK46" i="32"/>
  <c r="KK13" i="32" l="1"/>
  <c r="KK22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O21" i="32" l="1"/>
  <c r="KO4" i="32" s="1"/>
  <c r="KK2" i="32"/>
  <c r="KO2" i="32" l="1"/>
  <c r="KI8" i="32"/>
  <c r="KN12" i="32" l="1"/>
  <c r="KE30" i="32"/>
  <c r="KM43" i="32" l="1"/>
  <c r="KM5" i="32" s="1"/>
  <c r="KG31" i="32"/>
  <c r="KI20" i="32"/>
  <c r="KI17" i="32"/>
  <c r="KK39" i="32"/>
  <c r="KK41" i="32"/>
  <c r="KK42" i="32"/>
  <c r="KI4" i="32" l="1"/>
  <c r="KG29" i="32"/>
  <c r="KI2" i="32" l="1"/>
  <c r="KM2" i="32"/>
  <c r="KD24" i="32"/>
  <c r="KG19" i="32" l="1"/>
  <c r="KE23" i="32"/>
  <c r="KG15" i="32" l="1"/>
  <c r="KE11" i="32" l="1"/>
  <c r="KG16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KN10" authorId="1" shapeId="0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22" authorId="0" shapeId="0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40" authorId="1" shapeId="0">
      <text>
        <r>
          <rPr>
            <sz val="9"/>
            <color indexed="81"/>
            <rFont val="Tahoma"/>
            <family val="2"/>
          </rPr>
          <t>https://tanbinvest.dreamhosters.com/17190/annual-burn-rate-sensible-exclusions/</t>
        </r>
      </text>
    </comment>
    <comment ref="JX41" authorId="1" shapeId="0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<sst xmlns="http://schemas.openxmlformats.org/spreadsheetml/2006/main" count="7566" uniqueCount="3130">
  <si>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</si>
  <si>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</si>
  <si>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</si>
  <si>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</si>
  <si>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</si>
  <si>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</si>
  <si>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</si>
  <si>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</si>
  <si>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</si>
  <si>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</si>
  <si>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</si>
  <si>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</si>
  <si>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</si>
  <si>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</si>
  <si>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</si>
  <si>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</si>
  <si>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</si>
  <si>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</si>
  <si>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</si>
  <si>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</si>
  <si>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</si>
  <si>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</si>
  <si>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</si>
  <si>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</si>
  <si>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</si>
  <si>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</si>
  <si>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</si>
  <si>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</si>
  <si>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</si>
  <si>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</si>
  <si>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</si>
  <si>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</si>
  <si>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</si>
  <si>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</si>
  <si>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</si>
  <si>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</si>
  <si>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</si>
  <si>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</si>
  <si>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</si>
  <si>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</si>
  <si>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</si>
  <si>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</si>
  <si>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</si>
  <si>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</si>
  <si>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</si>
  <si>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</si>
  <si>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</si>
  <si>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</si>
  <si>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</si>
  <si>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</si>
  <si>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</si>
  <si>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</si>
  <si>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</si>
  <si>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</si>
  <si>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</si>
  <si>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</si>
  <si>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</si>
  <si>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</si>
  <si>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</si>
  <si>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</si>
  <si>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</si>
  <si>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</si>
  <si>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</si>
  <si>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</si>
  <si>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</si>
  <si>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</si>
  <si>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</si>
  <si>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</si>
  <si>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</si>
  <si>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</si>
  <si>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</si>
  <si>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</si>
  <si>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</si>
  <si>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</si>
  <si>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</si>
  <si>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</si>
  <si>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</si>
  <si>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</si>
  <si>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</si>
  <si>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</si>
  <si>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</si>
  <si>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</si>
  <si>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</si>
  <si>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</si>
  <si>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</si>
  <si>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</si>
  <si>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</si>
  <si>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</si>
  <si>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</si>
  <si>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</si>
  <si>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</si>
  <si>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</si>
  <si>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</si>
  <si>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</si>
  <si>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</si>
  <si>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</si>
  <si>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</si>
  <si>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</si>
  <si>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</si>
  <si>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</si>
  <si>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</si>
  <si>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</si>
  <si>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</si>
  <si>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</si>
  <si>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</si>
  <si>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</si>
  <si>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</si>
  <si>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</si>
  <si>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</si>
  <si>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</si>
  <si>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</si>
  <si>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</si>
  <si>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</si>
  <si>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</si>
  <si>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</si>
  <si>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</si>
  <si>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</si>
  <si>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</si>
  <si>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</si>
  <si>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</si>
  <si>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</si>
  <si>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</si>
  <si>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</si>
  <si>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</si>
  <si>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</si>
  <si>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</si>
  <si>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</si>
  <si>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</si>
  <si>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</si>
  <si>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</si>
  <si>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</si>
  <si>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</si>
  <si>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</si>
  <si>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</si>
  <si>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</si>
  <si>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</si>
  <si>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</si>
  <si>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</si>
  <si>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</si>
  <si>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</si>
  <si>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</si>
  <si>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</si>
  <si>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</si>
  <si>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</si>
  <si>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</si>
  <si>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</si>
  <si>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</si>
  <si>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</si>
  <si>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</si>
  <si>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</si>
  <si>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</si>
  <si>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</si>
  <si>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</si>
  <si>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</si>
  <si>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</si>
  <si>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</si>
  <si>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</si>
  <si>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</si>
  <si>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</si>
  <si>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</si>
  <si>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</si>
  <si>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</si>
  <si>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</si>
  <si>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</si>
  <si>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</si>
  <si>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</si>
  <si>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</si>
  <si>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</si>
  <si>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</si>
  <si>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</si>
  <si>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</si>
  <si>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</si>
  <si>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</si>
  <si>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</si>
  <si>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</si>
  <si>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</si>
  <si>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</si>
  <si>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</si>
  <si>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</si>
  <si>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</si>
  <si>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</si>
  <si>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</si>
  <si>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</si>
  <si>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</si>
  <si>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</si>
  <si>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</si>
  <si>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</si>
  <si>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</si>
  <si>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</si>
  <si>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</si>
  <si>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</si>
  <si>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</si>
  <si>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</si>
  <si>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</si>
  <si>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</si>
  <si>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</si>
  <si>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</si>
  <si>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</si>
  <si>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</si>
  <si>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</si>
  <si>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</si>
  <si>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</si>
  <si>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</si>
  <si>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</si>
  <si>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</si>
  <si>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</si>
  <si>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</si>
  <si>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</si>
  <si>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</si>
  <si>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</si>
  <si>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</si>
  <si>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</si>
  <si>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</si>
  <si>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</si>
  <si>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</si>
  <si>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</si>
  <si>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</si>
  <si>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</si>
  <si>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</si>
  <si>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</si>
  <si>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</si>
  <si>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</si>
  <si>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</si>
  <si>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</si>
  <si>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</si>
  <si>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</si>
  <si>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</si>
  <si>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</si>
  <si>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</si>
  <si>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</si>
  <si>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</si>
  <si>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</si>
  <si>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</si>
  <si>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</si>
  <si>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</si>
  <si>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</si>
  <si>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</si>
  <si>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</si>
  <si>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</si>
  <si>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</si>
  <si>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</si>
  <si>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</si>
  <si>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</si>
  <si>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</si>
  <si>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</si>
  <si>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</si>
  <si>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</si>
  <si>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</si>
  <si>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</si>
  <si>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</si>
  <si>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</si>
  <si>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</si>
  <si>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</si>
  <si>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</si>
  <si>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</si>
  <si>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</si>
  <si>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</si>
  <si>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</si>
  <si>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</si>
  <si>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</si>
  <si>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</si>
  <si>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</si>
  <si>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</si>
  <si>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</si>
  <si>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</si>
  <si>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</si>
  <si>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</si>
  <si>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</si>
  <si>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</si>
  <si>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</si>
  <si>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</si>
  <si>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</si>
  <si>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</si>
  <si>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</si>
  <si>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</si>
  <si>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</si>
  <si>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</si>
  <si>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</si>
  <si>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</si>
  <si>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</si>
  <si>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</si>
  <si>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</si>
  <si>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</si>
  <si>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</si>
  <si>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</si>
  <si>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</si>
  <si>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</si>
  <si>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</si>
  <si>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</si>
  <si>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</si>
  <si>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</si>
  <si>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</si>
  <si>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</si>
  <si>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</si>
  <si>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</si>
  <si>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</si>
  <si>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</si>
  <si>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</si>
  <si>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</si>
  <si>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</si>
  <si>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</si>
  <si>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</si>
  <si>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</si>
  <si>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</si>
  <si>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</si>
  <si>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</si>
  <si>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</si>
  <si>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</si>
  <si>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</si>
  <si>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</si>
  <si>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</si>
  <si>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</si>
  <si>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</si>
  <si>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</si>
  <si>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</si>
  <si>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</si>
  <si>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</si>
  <si>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</si>
  <si>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</si>
  <si>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</si>
  <si>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</si>
  <si>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</si>
  <si>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</si>
  <si>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</si>
  <si>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</si>
  <si>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</si>
  <si>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</si>
  <si>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</si>
  <si>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</si>
  <si>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</si>
  <si>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</si>
  <si>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</si>
  <si>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</si>
  <si>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</si>
  <si>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</si>
  <si>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</si>
  <si>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</si>
  <si>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</si>
  <si>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</si>
  <si>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</si>
  <si>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</si>
  <si>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</si>
  <si>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</si>
  <si>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</si>
  <si>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</si>
  <si>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</si>
  <si>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</si>
  <si>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</si>
  <si>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</si>
  <si>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</si>
  <si>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</si>
  <si>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</si>
  <si>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</si>
  <si>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</si>
  <si>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</si>
  <si>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</si>
  <si>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</si>
  <si>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</si>
  <si>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</si>
  <si>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</si>
  <si>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</si>
  <si>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</si>
  <si>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</si>
  <si>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</si>
  <si>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</si>
  <si>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</si>
  <si>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</si>
  <si>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</si>
  <si>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</si>
  <si>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</si>
  <si>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</si>
  <si>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</si>
  <si>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</si>
  <si>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</si>
  <si>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</si>
  <si>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</si>
  <si>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</si>
  <si>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</si>
  <si>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</si>
  <si>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</si>
  <si>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</si>
  <si>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</si>
  <si>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</si>
  <si>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</si>
  <si>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</si>
  <si>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</si>
  <si>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</si>
  <si>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</si>
  <si>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</si>
  <si>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</si>
  <si>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</si>
  <si>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</si>
  <si>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</si>
  <si>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</si>
  <si>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</si>
  <si>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</si>
  <si>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</si>
  <si>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</si>
  <si>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</si>
  <si>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</si>
  <si>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</si>
  <si>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</si>
  <si>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</si>
  <si>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</si>
  <si>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</si>
  <si>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</si>
  <si>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</si>
  <si>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</si>
  <si>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</si>
  <si>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</si>
  <si>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</si>
  <si>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</si>
  <si>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</si>
  <si>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</si>
  <si>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</si>
  <si>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</si>
  <si>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</si>
  <si>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</si>
  <si>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</si>
  <si>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</si>
  <si>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</si>
  <si>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</si>
  <si>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</si>
  <si>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</si>
  <si>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</si>
  <si>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</si>
  <si>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</si>
  <si>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</si>
  <si>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</si>
  <si>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</si>
  <si>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</si>
  <si>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</si>
  <si>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</si>
  <si>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</si>
  <si>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</si>
  <si>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</si>
  <si>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</si>
  <si>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</si>
  <si>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</si>
  <si>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</si>
  <si>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</si>
  <si>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</si>
  <si>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</si>
  <si>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</si>
  <si>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</si>
  <si>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</si>
  <si>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</si>
  <si>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</si>
  <si>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</si>
  <si>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</si>
  <si>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</si>
  <si>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</si>
  <si>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</si>
  <si>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</si>
  <si>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</si>
  <si>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</si>
  <si>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</si>
  <si>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</si>
  <si>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</si>
  <si>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</si>
  <si>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</si>
  <si>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</si>
  <si>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</si>
  <si>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</si>
  <si>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</si>
  <si>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</si>
  <si>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</si>
  <si>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</si>
  <si>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</si>
  <si>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</si>
  <si>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</si>
  <si>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</si>
  <si>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</si>
  <si>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</si>
  <si>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</si>
  <si>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</si>
  <si>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</si>
  <si>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</si>
  <si>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</si>
  <si>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</si>
  <si>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</si>
  <si>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</si>
  <si>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</si>
  <si>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</si>
  <si>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</si>
  <si>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</si>
  <si>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</si>
  <si>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</si>
  <si>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</si>
  <si>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</si>
  <si>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</si>
  <si>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</si>
  <si>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</si>
  <si>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</si>
  <si>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</si>
  <si>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</si>
  <si>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</si>
  <si>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</si>
  <si>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</si>
  <si>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</si>
  <si>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</si>
  <si>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</si>
  <si>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</si>
  <si>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</si>
  <si>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</si>
  <si>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</si>
  <si>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</si>
  <si>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</si>
  <si>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</si>
  <si>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</si>
  <si>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</si>
  <si>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</si>
  <si>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</si>
  <si>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</si>
  <si>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</si>
  <si>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</si>
  <si>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</si>
  <si>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</si>
  <si>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</si>
  <si>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</si>
  <si>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</si>
  <si>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</si>
  <si>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</si>
  <si>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</si>
  <si>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</si>
  <si>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</si>
  <si>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</si>
  <si>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</si>
  <si>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</si>
  <si>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</si>
  <si>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</si>
  <si>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</si>
  <si>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</si>
  <si>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</si>
  <si>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</si>
  <si>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</si>
  <si>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</si>
  <si>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</si>
  <si>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</si>
  <si>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</si>
  <si>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</si>
  <si>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</si>
  <si>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</si>
  <si>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</si>
  <si>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</si>
  <si>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</si>
  <si>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</si>
  <si>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</si>
  <si>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</si>
  <si>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</si>
  <si>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</si>
  <si>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</si>
  <si>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</si>
  <si>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</si>
  <si>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</si>
  <si>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</si>
  <si>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</si>
  <si>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</si>
  <si>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</si>
  <si>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</si>
  <si>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</si>
  <si>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</si>
  <si>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</si>
  <si>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</si>
  <si>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</si>
  <si>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</si>
  <si>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</si>
  <si>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</si>
  <si>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</si>
  <si>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</si>
  <si>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</si>
  <si>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</si>
  <si>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</si>
  <si>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</si>
  <si>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</si>
  <si>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</si>
  <si>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</si>
  <si>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</si>
  <si>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</si>
  <si>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</si>
  <si>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</si>
  <si>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</si>
  <si>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</si>
  <si>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</si>
  <si>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</si>
  <si>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</si>
  <si>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</si>
  <si>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</si>
  <si>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</si>
  <si>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</si>
  <si>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</si>
  <si>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</si>
  <si>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</si>
  <si>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</si>
  <si>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</si>
  <si>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</si>
  <si>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</si>
  <si>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</si>
  <si>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</si>
  <si>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</si>
  <si>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</si>
  <si>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</si>
  <si>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</si>
  <si>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</si>
  <si>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</si>
  <si>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</si>
  <si>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</si>
  <si>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</si>
  <si>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</si>
  <si>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</si>
  <si>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</si>
  <si>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</si>
  <si>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</si>
  <si>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</si>
  <si>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</si>
  <si>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</si>
  <si>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</si>
  <si>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</si>
  <si>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</si>
  <si>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</si>
  <si>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</si>
  <si>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</si>
  <si>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</si>
  <si>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</si>
  <si>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</si>
  <si>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</si>
  <si>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</si>
  <si>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</si>
  <si>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</si>
  <si>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</si>
  <si>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</si>
  <si>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</si>
  <si>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</si>
  <si>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</si>
  <si>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</si>
  <si>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</si>
  <si>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</si>
  <si>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</si>
  <si>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</si>
  <si>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</si>
  <si>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</si>
  <si>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</si>
  <si>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</si>
  <si>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</si>
  <si>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</si>
  <si>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</si>
  <si>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</si>
  <si>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</si>
  <si>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</si>
  <si>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</si>
  <si>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</si>
  <si>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</si>
  <si>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</si>
  <si>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</si>
  <si>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</si>
  <si>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</si>
  <si>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</si>
  <si>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</si>
  <si>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</si>
  <si>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</si>
  <si>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</si>
  <si>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</si>
  <si>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</si>
  <si>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</si>
  <si>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</si>
  <si>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</si>
  <si>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</si>
  <si>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</si>
  <si>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</si>
  <si>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</si>
  <si>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</si>
  <si>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</si>
  <si>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</si>
  <si>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</si>
  <si>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</si>
  <si>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</si>
  <si>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</si>
  <si>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</si>
  <si>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</si>
  <si>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</si>
  <si>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</si>
  <si>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</si>
  <si>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</si>
  <si>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</si>
  <si>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</si>
  <si>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</si>
  <si>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</si>
  <si>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</si>
  <si>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</si>
  <si>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</si>
  <si>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</si>
  <si>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</si>
  <si>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</si>
  <si>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</si>
  <si>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</si>
  <si>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</si>
  <si>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</si>
  <si>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</si>
  <si>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</si>
  <si>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</si>
  <si>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</si>
  <si>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</si>
  <si>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</si>
  <si>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</si>
  <si>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</si>
  <si>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</si>
  <si>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</si>
  <si>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</si>
  <si>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</si>
  <si>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</si>
  <si>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</si>
  <si>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</si>
  <si>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</si>
  <si>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</si>
  <si>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</si>
  <si>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</si>
  <si>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</si>
  <si>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</si>
  <si>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</si>
  <si>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</si>
  <si>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</si>
  <si>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</si>
  <si>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</si>
  <si>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</si>
  <si>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</si>
  <si>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</si>
  <si>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</si>
  <si>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</si>
  <si>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</si>
  <si>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</si>
  <si>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</si>
  <si>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</si>
  <si>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</si>
  <si>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</si>
  <si>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</si>
  <si>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</si>
  <si>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</si>
  <si>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</si>
  <si>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</si>
  <si>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</si>
  <si>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</si>
  <si>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</si>
  <si>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</si>
  <si>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</si>
  <si>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</si>
  <si>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</si>
  <si>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</si>
  <si>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</si>
  <si>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</si>
  <si>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</si>
  <si>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</si>
  <si>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</si>
  <si>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</si>
  <si>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</si>
  <si>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</si>
  <si>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</si>
  <si>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</si>
  <si>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</si>
  <si>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</si>
  <si>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</si>
  <si>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</si>
  <si>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</si>
  <si>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</si>
  <si>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</si>
  <si>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</si>
  <si>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</si>
  <si>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</si>
  <si>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</si>
  <si>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</si>
  <si>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</si>
  <si>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</si>
  <si>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</si>
  <si>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</si>
  <si>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</si>
  <si>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</si>
  <si>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</si>
  <si>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</si>
  <si>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</si>
  <si>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</si>
  <si>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</si>
  <si>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</si>
  <si>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</si>
  <si>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</si>
  <si>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</si>
  <si>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</si>
  <si>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</si>
  <si>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</si>
  <si>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</si>
  <si>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</si>
  <si>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</si>
  <si>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</si>
  <si>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</si>
  <si>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</si>
  <si>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</si>
  <si>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</si>
  <si>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</si>
  <si>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</si>
  <si>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</si>
  <si>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</si>
  <si>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</si>
  <si>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</si>
  <si>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</si>
  <si>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</si>
  <si>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</si>
  <si>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</si>
  <si>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</si>
  <si>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</si>
  <si>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</si>
  <si>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</si>
  <si>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</si>
  <si>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</si>
  <si>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</si>
  <si>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</si>
  <si>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</si>
  <si>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</si>
  <si>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</si>
  <si>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</si>
  <si>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</si>
  <si>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</si>
  <si>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</si>
  <si>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</si>
  <si>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</si>
  <si>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</si>
  <si>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</si>
  <si>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</si>
  <si>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</si>
  <si>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</si>
  <si>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</si>
  <si>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</si>
  <si>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</si>
  <si>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</si>
  <si>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</si>
  <si>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</si>
  <si>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</si>
  <si>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</si>
  <si>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</si>
  <si>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</si>
  <si>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</si>
  <si>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</si>
  <si>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</si>
  <si>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</si>
  <si>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</si>
  <si>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</si>
  <si>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</si>
  <si>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</si>
  <si>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</si>
  <si>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</si>
  <si>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</si>
  <si>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</si>
  <si>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</si>
  <si>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</si>
  <si>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</si>
  <si>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</si>
  <si>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</si>
  <si>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</si>
  <si>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</si>
  <si>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</si>
  <si>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</si>
  <si>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</si>
  <si>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</si>
  <si>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</si>
  <si>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</si>
  <si>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</si>
  <si>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</si>
  <si>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</si>
  <si>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</si>
  <si>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</si>
  <si>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</si>
  <si>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</si>
  <si>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</si>
  <si>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</si>
  <si>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</si>
  <si>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</si>
  <si>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</si>
  <si>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</si>
  <si>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</si>
  <si>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</si>
  <si>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</si>
  <si>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</si>
  <si>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</si>
  <si>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</si>
  <si>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</si>
  <si>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</si>
  <si>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</si>
  <si>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</si>
  <si>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</si>
  <si>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</si>
  <si>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</si>
  <si>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</si>
  <si>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</si>
  <si>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</si>
  <si>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</si>
  <si>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</si>
  <si>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</si>
  <si>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</si>
  <si>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</si>
  <si>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</si>
  <si>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</si>
  <si>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</si>
  <si>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</si>
  <si>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</si>
  <si>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</si>
  <si>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</si>
  <si>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</si>
  <si>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</si>
  <si>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</si>
  <si>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</si>
  <si>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</si>
  <si>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</si>
  <si>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</si>
  <si>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</si>
  <si>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</si>
  <si>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</si>
  <si>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</si>
  <si>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</si>
  <si>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</si>
  <si>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</si>
  <si>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</si>
  <si>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</si>
  <si>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</si>
  <si>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</si>
  <si>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</si>
  <si>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</si>
  <si>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</si>
  <si>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</si>
  <si>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</si>
  <si>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</si>
  <si>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</si>
  <si>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</si>
  <si>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</si>
  <si>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</si>
  <si>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</si>
  <si>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</si>
  <si>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</si>
  <si>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</si>
  <si>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</si>
  <si>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</si>
  <si>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</si>
  <si>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</si>
  <si>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</si>
  <si>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</si>
  <si>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</si>
  <si>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</si>
  <si>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</si>
  <si>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</si>
  <si>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</si>
  <si>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</si>
  <si>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</si>
  <si>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</si>
  <si>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</si>
  <si>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</si>
  <si>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</si>
  <si>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</si>
  <si>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</si>
  <si>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</si>
  <si>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</si>
  <si>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</si>
  <si>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</si>
  <si>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</si>
  <si>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</si>
  <si>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</si>
  <si>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</si>
  <si>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</si>
  <si>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</si>
  <si>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</si>
  <si>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</si>
  <si>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</si>
  <si>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</si>
  <si>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</si>
  <si>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</si>
  <si>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</si>
  <si>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</si>
  <si>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</si>
  <si>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</si>
  <si>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</si>
  <si>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</si>
  <si>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</si>
  <si>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</si>
  <si>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</si>
  <si>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</si>
  <si>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</si>
  <si>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</si>
  <si>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</si>
  <si>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</si>
  <si>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</si>
  <si>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</si>
  <si>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</si>
  <si>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</si>
  <si>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</si>
  <si>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</si>
  <si>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</si>
  <si>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</si>
  <si>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</si>
  <si>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</si>
  <si>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</si>
  <si>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</si>
  <si>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</si>
  <si>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</si>
  <si>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</si>
  <si>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</si>
  <si>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</si>
  <si>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</si>
  <si>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</si>
  <si>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</si>
  <si>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</si>
  <si>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</si>
  <si>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</si>
  <si>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</si>
  <si>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</si>
  <si>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</si>
  <si>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</si>
  <si>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</si>
  <si>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</si>
  <si>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</si>
  <si>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</si>
  <si>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</si>
  <si>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</si>
  <si>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</si>
  <si>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</si>
  <si>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</si>
  <si>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</si>
  <si>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</si>
  <si>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</si>
  <si>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</si>
  <si>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</si>
  <si>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</si>
  <si>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</si>
  <si>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</si>
  <si>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</si>
  <si>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</si>
  <si>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</si>
  <si>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</si>
  <si>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</si>
  <si>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</si>
  <si>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</si>
  <si>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</si>
  <si>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</si>
  <si>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</si>
  <si>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</si>
  <si>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</si>
  <si>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</si>
  <si>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</si>
  <si>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</si>
  <si>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</si>
  <si>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</si>
  <si>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</si>
  <si>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</si>
  <si>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</si>
  <si>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</si>
  <si>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</si>
  <si>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</si>
  <si>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</si>
  <si>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</si>
  <si>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</si>
  <si>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</si>
  <si>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</si>
  <si>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</si>
  <si>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</si>
  <si>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</si>
  <si>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</si>
  <si>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</si>
  <si>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</si>
  <si>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</si>
  <si>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</si>
  <si>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</si>
  <si>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</si>
  <si>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</si>
  <si>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</si>
  <si>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</si>
  <si>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</si>
  <si>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</si>
  <si>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</si>
  <si>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</si>
  <si>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</si>
  <si>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</si>
  <si>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</si>
  <si>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</si>
  <si>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</si>
  <si>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</si>
  <si>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</si>
  <si>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</si>
  <si>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</si>
  <si>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</si>
  <si>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</si>
  <si>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</si>
  <si>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</si>
  <si>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</si>
  <si>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</si>
  <si>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</si>
  <si>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</si>
  <si>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</si>
  <si>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</si>
  <si>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</si>
  <si>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</si>
  <si>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</si>
  <si>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</si>
  <si>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</si>
  <si>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</si>
  <si>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</si>
  <si>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</si>
  <si>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</si>
  <si>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</si>
  <si>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</si>
  <si>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</si>
  <si>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</si>
  <si>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</si>
  <si>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</si>
  <si>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</si>
  <si>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</si>
  <si>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</si>
  <si>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</si>
  <si>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</si>
  <si>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</si>
  <si>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</si>
  <si>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</si>
  <si>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</si>
  <si>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</si>
  <si>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</si>
  <si>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</si>
  <si>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</si>
  <si>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</si>
  <si>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</si>
  <si>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</si>
  <si>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</si>
  <si>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</si>
  <si>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</si>
  <si>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</si>
  <si>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</si>
  <si>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</si>
  <si>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</si>
  <si>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</si>
  <si>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</si>
  <si>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</si>
  <si>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</si>
  <si>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</si>
  <si>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</si>
  <si>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</si>
  <si>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</si>
  <si>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</si>
  <si>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</si>
  <si>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</si>
  <si>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</si>
  <si>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</si>
  <si>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</si>
  <si>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</si>
  <si>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</si>
  <si>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</si>
  <si>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</si>
  <si>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</si>
  <si>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</si>
  <si>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</si>
  <si>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</si>
  <si>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</si>
  <si>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</si>
  <si>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</si>
  <si>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</si>
  <si>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</si>
  <si>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</si>
  <si>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</si>
  <si>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</si>
  <si>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</si>
  <si>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</si>
  <si>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</si>
  <si>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</si>
  <si>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</si>
  <si>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</si>
  <si>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</si>
  <si>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</si>
  <si>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</si>
  <si>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</si>
  <si>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</si>
  <si>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</si>
  <si>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</si>
  <si>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</si>
  <si>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</si>
  <si>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</si>
  <si>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</si>
  <si>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</si>
  <si>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</si>
  <si>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</si>
  <si>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</si>
  <si>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</si>
  <si>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</si>
  <si>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</si>
  <si>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</si>
  <si>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</si>
  <si>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</si>
  <si>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</si>
  <si>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</si>
  <si>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</si>
  <si>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</si>
  <si>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</si>
  <si>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</si>
  <si>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</si>
  <si>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</si>
  <si>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</si>
  <si>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</si>
  <si>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</si>
  <si>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</si>
  <si>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</si>
  <si>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</si>
  <si>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</si>
  <si>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</si>
  <si>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</si>
  <si>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</si>
  <si>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</si>
  <si>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</si>
  <si>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</si>
  <si>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</si>
  <si>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</si>
  <si>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</si>
  <si>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</si>
  <si>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</si>
  <si>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</si>
  <si>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</si>
  <si>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</si>
  <si>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</si>
  <si>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</si>
  <si>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</si>
  <si>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</si>
  <si>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</si>
  <si>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</si>
  <si>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</si>
  <si>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</si>
  <si>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</si>
  <si>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</si>
  <si>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</si>
  <si>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</si>
  <si>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</si>
  <si>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</si>
  <si>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</si>
  <si>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</si>
  <si>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</si>
  <si>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</si>
  <si>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</si>
  <si>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</si>
  <si>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</si>
  <si>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</si>
  <si>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</si>
  <si>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</si>
  <si>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</si>
  <si>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</si>
  <si>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</si>
  <si>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</si>
  <si>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</si>
  <si>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</si>
  <si>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</si>
  <si>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</si>
  <si>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</si>
  <si>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</si>
  <si>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</si>
  <si>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</si>
  <si>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</si>
  <si>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</si>
  <si>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</si>
  <si>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</si>
  <si>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</si>
  <si>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</si>
  <si>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</si>
  <si>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</si>
  <si>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</si>
  <si>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</si>
  <si>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</si>
  <si>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</si>
  <si>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</si>
  <si>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</si>
  <si>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</si>
  <si>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</si>
  <si>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</si>
  <si>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</si>
  <si>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</si>
  <si>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</si>
  <si>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</si>
  <si>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</si>
  <si>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</si>
  <si>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</si>
  <si>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</si>
  <si>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</si>
  <si>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</si>
  <si>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</si>
  <si>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</si>
  <si>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</si>
  <si>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</si>
  <si>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</si>
  <si>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</si>
  <si>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</si>
  <si>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</si>
  <si>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</si>
  <si>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</si>
  <si>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</si>
  <si>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</si>
  <si>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</si>
  <si>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</si>
  <si>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</si>
  <si>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</si>
  <si>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</si>
  <si>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</si>
  <si>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</si>
  <si>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</si>
  <si>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</si>
  <si>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</si>
  <si>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</si>
  <si>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</si>
  <si>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</si>
  <si>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</si>
  <si>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</si>
  <si>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</si>
  <si>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</si>
  <si>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</si>
  <si>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</si>
  <si>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</si>
  <si>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</si>
  <si>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</si>
  <si>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</si>
  <si>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</si>
  <si>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</si>
  <si>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</si>
  <si>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</si>
  <si>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</si>
  <si>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</si>
  <si>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</si>
  <si>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</si>
  <si>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</si>
  <si>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</si>
  <si>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</si>
  <si>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</si>
  <si>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</si>
  <si>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</si>
  <si>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</si>
  <si>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</si>
  <si>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</si>
  <si>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</si>
  <si>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</si>
  <si>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</si>
  <si>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</si>
  <si>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</si>
  <si>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</si>
  <si>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</si>
  <si>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</si>
  <si>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</si>
  <si>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</si>
  <si>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</si>
  <si>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</si>
  <si>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</si>
  <si>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</si>
  <si>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</si>
  <si>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</si>
  <si>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</si>
  <si>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</si>
  <si>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</si>
  <si>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</si>
  <si>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</si>
  <si>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</si>
  <si>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</si>
  <si>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</si>
  <si>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</si>
  <si>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</si>
  <si>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</si>
  <si>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</si>
  <si>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</si>
  <si>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</si>
  <si>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</si>
  <si>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</si>
  <si>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</si>
  <si>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</si>
  <si>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</si>
  <si>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</si>
  <si>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</si>
  <si>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</si>
  <si>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</si>
  <si>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</si>
  <si>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</si>
  <si>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</si>
  <si>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</si>
  <si>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</si>
  <si>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</si>
  <si>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</si>
  <si>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</si>
  <si>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</si>
  <si>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</si>
  <si>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</si>
  <si>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</si>
  <si>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</si>
  <si>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</si>
  <si>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</si>
  <si>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</si>
  <si>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</si>
  <si>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</si>
  <si>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</si>
  <si>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</si>
  <si>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</si>
  <si>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</si>
  <si>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</si>
  <si>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</si>
  <si>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</si>
  <si>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</si>
  <si>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</si>
  <si>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</si>
  <si>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</si>
  <si>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</si>
  <si>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</si>
  <si>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</si>
  <si>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</si>
  <si>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</si>
  <si>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</si>
  <si>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</si>
  <si>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</si>
  <si>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</si>
  <si>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</si>
  <si>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</si>
  <si>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</si>
  <si>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</si>
  <si>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</si>
  <si>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</si>
  <si>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</si>
  <si>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</si>
  <si>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</si>
  <si>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</si>
  <si>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</si>
  <si>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</si>
  <si>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</si>
  <si>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</si>
  <si>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</si>
  <si>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</si>
  <si>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</si>
  <si>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</si>
  <si>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</si>
  <si>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</si>
  <si>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</si>
  <si>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</si>
  <si>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</si>
  <si>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</si>
  <si>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</si>
  <si>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</si>
  <si>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</si>
  <si>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</si>
  <si>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</si>
  <si>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</si>
  <si>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</si>
  <si>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</si>
  <si>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</si>
  <si>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</si>
  <si>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</si>
  <si>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</si>
  <si>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</si>
  <si>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</si>
  <si>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</si>
  <si>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</si>
  <si>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</si>
  <si>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</si>
  <si>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</si>
  <si>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</si>
  <si>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</si>
  <si>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</si>
  <si>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</si>
  <si>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</si>
  <si>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</si>
  <si>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</si>
  <si>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</si>
  <si>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</si>
  <si>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</si>
  <si>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</si>
  <si>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</si>
  <si>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</si>
  <si>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</si>
  <si>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</si>
  <si>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</si>
  <si>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</si>
  <si>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</si>
  <si>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</si>
  <si>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</si>
  <si>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</si>
  <si>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</si>
  <si>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</si>
  <si>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</si>
  <si>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</si>
  <si>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</si>
  <si>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</si>
  <si>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</si>
  <si>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</si>
  <si>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</si>
  <si>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</si>
  <si>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</si>
  <si>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</si>
  <si>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</si>
  <si>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</si>
  <si>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</si>
  <si>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</si>
  <si>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</si>
  <si>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</si>
  <si>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</si>
  <si>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</si>
  <si>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</si>
  <si>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</si>
  <si>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</si>
  <si>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</si>
  <si>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</si>
  <si>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</si>
  <si>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</si>
  <si>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</si>
  <si>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</si>
  <si>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</si>
  <si>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</si>
  <si>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</si>
  <si>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</si>
  <si>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</si>
  <si>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</si>
  <si>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</si>
  <si>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</si>
  <si>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</si>
  <si>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</si>
  <si>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</si>
  <si>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</si>
  <si>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</si>
  <si>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</si>
  <si>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</si>
  <si>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</si>
  <si>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</si>
  <si>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</si>
  <si>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</si>
  <si>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</si>
  <si>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</si>
  <si>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</si>
  <si>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</si>
  <si>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</si>
  <si>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</si>
  <si>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</si>
  <si>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</si>
  <si>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</si>
  <si>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</si>
  <si>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</si>
  <si>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</si>
  <si>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</si>
  <si>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</si>
  <si>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</si>
  <si>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</si>
  <si>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</si>
  <si>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</si>
  <si>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</si>
  <si>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</si>
  <si>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</si>
  <si>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</si>
  <si>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</si>
  <si>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</si>
  <si>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</si>
  <si>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</si>
  <si>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</si>
  <si>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</si>
  <si>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</si>
  <si>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</si>
  <si>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</si>
  <si>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</si>
  <si>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</si>
  <si>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</si>
  <si>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</si>
  <si>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</si>
  <si>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</si>
  <si>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</si>
  <si>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</si>
  <si>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</si>
  <si>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</si>
  <si>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</si>
  <si>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</si>
  <si>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</si>
  <si>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</si>
  <si>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</si>
  <si>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</si>
  <si>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</si>
  <si>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</si>
  <si>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</si>
  <si>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</si>
  <si>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</si>
  <si>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</si>
  <si>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</si>
  <si>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</si>
  <si>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</si>
  <si>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</si>
  <si>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</si>
  <si>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</si>
  <si>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</si>
  <si>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</si>
  <si>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</si>
  <si>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</si>
  <si>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</si>
  <si>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</si>
  <si>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</si>
  <si>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</si>
  <si>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</si>
  <si>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</si>
  <si>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</si>
  <si>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</si>
  <si>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</si>
  <si>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</si>
  <si>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</si>
  <si>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</si>
  <si>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</si>
  <si>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</si>
  <si>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</si>
  <si>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</si>
  <si>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</si>
  <si>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</si>
  <si>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</si>
  <si>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</si>
  <si>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</si>
  <si>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</si>
  <si>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</si>
  <si>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</si>
  <si>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</si>
  <si>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</si>
  <si>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</si>
  <si>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</si>
  <si>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</si>
  <si>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</si>
  <si>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</si>
  <si>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</si>
  <si>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</si>
  <si>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</si>
  <si>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</si>
  <si>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</si>
  <si>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</si>
  <si>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</si>
  <si>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</si>
  <si>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</si>
  <si>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</si>
  <si>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</si>
  <si>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</si>
  <si>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</si>
  <si>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</si>
  <si>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</si>
  <si>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</si>
  <si>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</si>
  <si>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</si>
  <si>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</si>
  <si>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</si>
  <si>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</si>
  <si>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</si>
  <si>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</si>
  <si>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</si>
  <si>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</si>
  <si>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</si>
  <si>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</si>
  <si>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</si>
  <si>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</si>
  <si>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</si>
  <si>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</si>
  <si>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</si>
  <si>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</si>
  <si>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</si>
  <si>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</si>
  <si>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</si>
  <si>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</si>
  <si>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</si>
  <si>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</si>
  <si>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</si>
  <si>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</si>
  <si>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</si>
  <si>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</si>
  <si>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</si>
  <si>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</si>
  <si>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</si>
  <si>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</si>
  <si>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</si>
  <si>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</si>
  <si>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</si>
  <si>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</si>
  <si>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</si>
  <si>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</si>
  <si>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</si>
  <si>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</si>
  <si>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</si>
  <si>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</si>
  <si>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</si>
  <si>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</si>
  <si>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</si>
  <si>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</si>
  <si>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</si>
  <si>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</si>
  <si>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</si>
  <si>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</si>
  <si>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</si>
  <si>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</si>
  <si>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</si>
  <si>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</si>
  <si>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</si>
  <si>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</si>
  <si>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</si>
  <si>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</si>
  <si>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</si>
  <si>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</si>
  <si>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</si>
  <si>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</si>
  <si>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</si>
  <si>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</si>
  <si>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</si>
  <si>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</si>
  <si>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</si>
  <si>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</si>
  <si>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</si>
  <si>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</si>
  <si>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</si>
  <si>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</si>
  <si>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</si>
  <si>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</si>
  <si>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</si>
  <si>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</si>
  <si>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</si>
  <si>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</si>
  <si>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</si>
  <si>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</si>
  <si>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</si>
  <si>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</si>
  <si>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</si>
  <si>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</si>
  <si>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</si>
  <si>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</si>
  <si>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</si>
  <si>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</si>
  <si>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</si>
  <si>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</si>
  <si>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</si>
  <si>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</si>
  <si>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</si>
  <si>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</si>
  <si>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</si>
  <si>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</si>
  <si>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</si>
  <si>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</si>
  <si>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</si>
  <si>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</si>
  <si>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</si>
  <si>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</si>
  <si>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</si>
  <si>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</si>
  <si>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</si>
  <si>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</si>
  <si>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</si>
  <si>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</si>
  <si>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</si>
  <si>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</si>
  <si>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</si>
  <si>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</si>
  <si>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</si>
  <si>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</si>
  <si>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</si>
  <si>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</si>
  <si>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</si>
  <si>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</si>
  <si>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</si>
  <si>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</si>
  <si>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</si>
  <si>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</si>
  <si>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</si>
  <si>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</si>
  <si>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</si>
  <si>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</si>
  <si>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</si>
  <si>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</si>
  <si>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</si>
  <si>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</si>
  <si>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</si>
  <si>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</si>
  <si>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</si>
  <si>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</si>
  <si>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</si>
  <si>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</si>
  <si>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</si>
  <si>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</si>
  <si>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</si>
  <si>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</si>
  <si>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</si>
  <si>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</si>
  <si>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</si>
  <si>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</si>
  <si>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</si>
  <si>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</si>
  <si>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</si>
  <si>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</si>
  <si>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</si>
  <si>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</si>
  <si>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</si>
  <si>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</si>
  <si>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</si>
  <si>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</si>
  <si>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</si>
  <si>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</si>
  <si>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</si>
  <si>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</si>
  <si>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</si>
  <si>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</si>
  <si>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</si>
  <si>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</si>
  <si>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</si>
  <si>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</si>
  <si>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</si>
  <si>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</si>
  <si>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</si>
  <si>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</si>
  <si>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</si>
  <si>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</si>
  <si>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</si>
  <si>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</si>
  <si>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</si>
  <si>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</si>
  <si>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</si>
  <si>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</si>
  <si>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</si>
  <si>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</si>
  <si>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</si>
  <si>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</si>
  <si>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</si>
  <si>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</si>
  <si>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</si>
  <si>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</si>
  <si>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</si>
  <si>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</si>
  <si>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</si>
  <si>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</si>
  <si>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</si>
  <si>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</si>
  <si>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</si>
  <si>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</si>
  <si>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</si>
  <si>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</si>
  <si>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</si>
  <si>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</si>
  <si>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</si>
  <si>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</si>
  <si>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</si>
  <si>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</si>
  <si>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</si>
  <si>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</si>
  <si>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</si>
  <si>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</si>
  <si>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</si>
  <si>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</si>
  <si>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</si>
  <si>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</si>
  <si>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</si>
  <si>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</si>
  <si>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</si>
  <si>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</si>
  <si>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</si>
  <si>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</si>
  <si>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</si>
  <si>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</si>
  <si>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</si>
  <si>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</si>
  <si>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</si>
  <si>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</si>
  <si>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</si>
  <si>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</si>
  <si>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</si>
  <si>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</si>
  <si>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</si>
  <si>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</si>
  <si>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</si>
  <si>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</si>
  <si>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</si>
  <si>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</si>
  <si>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</si>
  <si>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</si>
  <si>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</si>
  <si>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</si>
  <si>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</si>
  <si>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</si>
  <si>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</si>
  <si>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</si>
  <si>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</si>
  <si>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</si>
  <si>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</si>
  <si>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</si>
  <si>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</si>
  <si>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</si>
  <si>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</si>
  <si>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</si>
  <si>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</si>
  <si>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</si>
  <si>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</si>
  <si>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</si>
  <si>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</si>
  <si>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</si>
  <si>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</si>
  <si>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</si>
  <si>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</si>
  <si>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</si>
  <si>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</si>
  <si>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</si>
  <si>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</si>
  <si>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</si>
  <si>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</si>
  <si>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</si>
  <si>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</si>
  <si>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</si>
  <si>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</si>
  <si>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</si>
  <si>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</si>
  <si>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</si>
  <si>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</si>
  <si>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</si>
  <si>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</si>
  <si>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</si>
  <si>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</si>
  <si>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</si>
  <si>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</si>
  <si>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</si>
  <si>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</si>
  <si>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</si>
  <si>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</si>
  <si>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</si>
  <si>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</si>
  <si>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</si>
  <si>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</si>
  <si>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</si>
  <si>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</si>
  <si>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</si>
  <si>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</si>
  <si>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</si>
  <si>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</si>
  <si>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</si>
  <si>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</si>
  <si>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</si>
  <si>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</si>
  <si>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</si>
  <si>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</si>
  <si>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</si>
  <si>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</si>
  <si>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</si>
  <si>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</si>
  <si>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</si>
  <si>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</si>
  <si>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</si>
  <si>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</si>
  <si>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</si>
  <si>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</si>
  <si>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</si>
  <si>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</si>
  <si>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</si>
  <si>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</si>
  <si>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</si>
  <si>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</si>
  <si>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</si>
  <si>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</si>
  <si>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</si>
  <si>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</si>
  <si>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</si>
  <si>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</si>
  <si>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</si>
  <si>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</si>
  <si>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</si>
  <si>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</si>
  <si>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</si>
  <si>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</si>
  <si>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</si>
  <si>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</si>
  <si>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</si>
  <si>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</si>
  <si>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</si>
  <si>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</si>
  <si>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</si>
  <si>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</si>
  <si>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</si>
  <si>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</si>
  <si>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</si>
  <si>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</si>
  <si>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</si>
  <si>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</si>
  <si>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</si>
  <si>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</si>
  <si>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</si>
  <si>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</si>
  <si>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</si>
  <si>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</si>
  <si>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</si>
  <si>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</si>
  <si>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</si>
  <si>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</si>
  <si>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</si>
  <si>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</si>
  <si>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</si>
  <si>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</si>
  <si>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</si>
  <si>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</si>
  <si>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</si>
  <si>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</si>
  <si>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</si>
  <si>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</si>
  <si>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</si>
  <si>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</si>
  <si>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</si>
  <si>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</si>
  <si>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</si>
  <si>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</si>
  <si>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</si>
  <si>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</si>
  <si>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</si>
  <si>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</si>
  <si>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</si>
  <si>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</si>
  <si>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</si>
  <si>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</si>
  <si>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</si>
  <si>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</si>
  <si>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</si>
  <si>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</si>
  <si>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</si>
  <si>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</si>
  <si>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</si>
  <si>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</si>
  <si>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</si>
  <si>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</si>
  <si>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</si>
  <si>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</si>
  <si>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</si>
  <si>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</si>
  <si>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</si>
  <si>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</si>
  <si>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</si>
  <si>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</si>
  <si>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</si>
  <si>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</si>
  <si>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</si>
  <si>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</si>
  <si>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</si>
  <si>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</si>
  <si>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</si>
  <si>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</si>
  <si>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</si>
  <si>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</si>
  <si>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</si>
  <si>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</si>
  <si>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</si>
  <si>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</si>
  <si>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</si>
  <si>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</si>
  <si>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</si>
  <si>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</si>
  <si>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</si>
  <si>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</si>
  <si>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</si>
  <si>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</si>
  <si>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</si>
  <si>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</si>
  <si>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</si>
  <si>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</si>
  <si>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</si>
  <si>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</si>
  <si>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</si>
  <si>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</si>
  <si>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</si>
  <si>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</si>
  <si>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</si>
  <si>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</si>
  <si>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</si>
  <si>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</si>
  <si>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</si>
  <si>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</si>
  <si>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</si>
  <si>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</si>
  <si>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</si>
  <si>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</si>
  <si>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</si>
  <si>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</si>
  <si>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</si>
  <si>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</si>
  <si>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</si>
  <si>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</si>
  <si>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</si>
  <si>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</si>
  <si>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</si>
  <si>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</si>
  <si>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</si>
  <si>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</si>
  <si>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</si>
  <si>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</si>
  <si>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</si>
  <si>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</si>
  <si>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</si>
  <si>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</si>
  <si>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</si>
  <si>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</si>
  <si>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</si>
  <si>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</si>
  <si>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</si>
  <si>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</si>
  <si>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</si>
  <si>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</si>
  <si>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</si>
  <si>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</si>
  <si>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</si>
  <si>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</si>
  <si>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</si>
  <si>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</si>
  <si>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</si>
  <si>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</si>
  <si>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</si>
  <si>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</si>
  <si>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</si>
  <si>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</si>
  <si>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</si>
  <si>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</si>
  <si>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</si>
  <si>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</si>
  <si>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</si>
  <si>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</si>
  <si>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</si>
  <si>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</si>
  <si>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</si>
  <si>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</si>
  <si>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</si>
  <si>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</si>
  <si>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</si>
  <si>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</si>
  <si>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</si>
  <si>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</si>
  <si>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</si>
  <si>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</si>
  <si>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</si>
  <si>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</si>
  <si>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</si>
  <si>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</si>
  <si>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</si>
  <si>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</si>
  <si>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</si>
  <si>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</si>
  <si>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</si>
  <si>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</si>
  <si>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</si>
  <si>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</si>
  <si>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</si>
  <si>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</si>
  <si>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</si>
  <si>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</si>
  <si>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</si>
  <si>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</si>
  <si>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</si>
  <si>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</si>
  <si>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</si>
  <si>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</si>
  <si>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</si>
  <si>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</si>
  <si>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</si>
  <si>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</si>
  <si>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</si>
  <si>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</si>
  <si>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</si>
  <si>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</si>
  <si>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</si>
  <si>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</si>
  <si>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</si>
  <si>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</si>
  <si>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</si>
  <si>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</si>
  <si>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</si>
  <si>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</si>
  <si>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</si>
  <si>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</si>
  <si>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</si>
  <si>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</si>
  <si>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</si>
  <si>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</si>
  <si>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</si>
  <si>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</si>
  <si>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</si>
  <si>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</si>
  <si>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</si>
  <si>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</si>
  <si>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</si>
  <si>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</si>
  <si>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</si>
  <si>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</si>
  <si>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</si>
  <si>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</si>
  <si>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</si>
  <si>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</si>
  <si>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</si>
  <si>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</si>
  <si>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</si>
  <si>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</si>
  <si>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</si>
  <si>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</si>
  <si>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</si>
  <si>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</si>
  <si>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</si>
  <si>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</si>
  <si>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</si>
  <si>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</si>
  <si>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</si>
  <si>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</si>
  <si>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</si>
  <si>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</si>
  <si>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</si>
  <si>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</si>
  <si>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</si>
  <si>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</si>
  <si>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</si>
  <si>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</si>
  <si>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</si>
  <si>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</si>
  <si>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</si>
  <si>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</si>
  <si>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</si>
  <si>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</si>
  <si>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</si>
  <si>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</si>
  <si>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</si>
  <si>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</si>
  <si>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</si>
  <si>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</si>
  <si>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</si>
  <si>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</si>
  <si>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</si>
  <si>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</si>
  <si>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</si>
  <si>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</si>
  <si>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</si>
  <si>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</si>
  <si>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</si>
  <si>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</si>
  <si>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</si>
  <si>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</si>
  <si>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</si>
  <si>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</si>
  <si>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</si>
  <si>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</si>
  <si>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</si>
  <si>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</si>
  <si>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</si>
  <si>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</si>
  <si>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</si>
  <si>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</si>
  <si>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</si>
  <si>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</si>
  <si>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</si>
  <si>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</si>
  <si>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</si>
  <si>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</si>
  <si>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</si>
  <si>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</si>
  <si>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</si>
  <si>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</si>
  <si>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</si>
  <si>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</si>
  <si>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</si>
  <si>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</si>
  <si>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</si>
  <si>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</si>
  <si>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</si>
  <si>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</si>
  <si>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</si>
  <si>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</si>
  <si>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</si>
  <si>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</si>
  <si>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</si>
  <si>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</si>
  <si>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</si>
  <si>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</si>
  <si>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</si>
  <si>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</si>
  <si>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</si>
  <si>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</si>
  <si>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</si>
  <si>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</si>
  <si>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</si>
  <si>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</si>
  <si>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</si>
  <si>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</si>
  <si>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</si>
  <si>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</si>
  <si>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</si>
  <si>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</si>
  <si>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</si>
  <si>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</si>
  <si>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</si>
  <si>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</si>
  <si>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</si>
  <si>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</si>
  <si>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</si>
  <si>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</si>
  <si>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</si>
  <si>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</si>
  <si>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</si>
  <si>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</si>
  <si>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</si>
  <si>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</si>
  <si>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</si>
  <si>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</si>
  <si>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</si>
  <si>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</si>
  <si>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</si>
  <si>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</si>
  <si>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</si>
  <si>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</si>
  <si>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</si>
  <si>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</si>
  <si>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</si>
  <si>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</si>
  <si>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</si>
  <si>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</si>
  <si>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</si>
  <si>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</si>
  <si>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</si>
  <si>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</si>
  <si>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</si>
  <si>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</si>
  <si>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</si>
  <si>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</si>
  <si>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</si>
  <si>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</si>
  <si>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</si>
  <si>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</si>
  <si>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</si>
  <si>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</si>
  <si>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</si>
  <si>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</si>
  <si>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</si>
  <si>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</si>
  <si>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</si>
  <si>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</si>
  <si>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</si>
  <si>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</si>
  <si>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</si>
  <si>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</si>
  <si>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</si>
  <si>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</si>
  <si>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</si>
  <si>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</si>
  <si>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</si>
  <si>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</si>
  <si>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</si>
  <si>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</si>
  <si>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</si>
  <si>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</si>
  <si>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</si>
  <si>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</si>
  <si>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</si>
  <si>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</si>
  <si>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</si>
  <si>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</si>
  <si>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</si>
  <si>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</si>
  <si>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</si>
  <si>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</si>
  <si>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</si>
  <si>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</si>
  <si>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</si>
  <si>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</si>
  <si>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</si>
  <si>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</si>
  <si>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</si>
  <si>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</si>
  <si>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</si>
  <si>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</si>
  <si>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</si>
  <si>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</si>
  <si>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</si>
  <si>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</si>
  <si>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</si>
  <si>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</si>
  <si>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</si>
  <si>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</si>
  <si>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</si>
  <si>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</si>
  <si>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</si>
  <si>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</si>
  <si>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</si>
  <si>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</si>
  <si>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</si>
  <si>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</si>
  <si>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</si>
  <si>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</si>
  <si>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</si>
  <si>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</si>
  <si>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</si>
  <si>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</si>
  <si>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</si>
  <si>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</si>
  <si>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</si>
  <si>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</si>
  <si>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</si>
  <si>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</si>
  <si>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</si>
  <si>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</si>
  <si>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</si>
  <si>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</si>
  <si>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</si>
  <si>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</si>
  <si>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</si>
  <si>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</si>
  <si>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</si>
  <si>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</si>
  <si>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</si>
  <si>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</si>
  <si>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</si>
  <si>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</si>
  <si>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</si>
  <si>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</si>
  <si>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</si>
  <si>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</si>
  <si>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</si>
  <si>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</si>
  <si>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</si>
  <si>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</si>
  <si>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</si>
  <si>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</si>
  <si>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</si>
  <si>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</si>
  <si>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</si>
  <si>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</si>
  <si>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</si>
  <si>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</si>
  <si>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</si>
  <si>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</si>
  <si>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</si>
  <si>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</si>
  <si>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</si>
  <si>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</si>
  <si>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</si>
  <si>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</si>
  <si>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</si>
  <si>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</si>
  <si>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</si>
  <si>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</si>
  <si>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</si>
  <si>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</si>
  <si>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</si>
  <si>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</si>
  <si>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</si>
  <si>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</si>
  <si>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</si>
  <si>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</si>
  <si>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</si>
  <si>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</si>
  <si>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</si>
  <si>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</si>
  <si>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</si>
  <si>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</si>
  <si>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</si>
  <si>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</si>
  <si>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</si>
  <si>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</si>
  <si>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</si>
  <si>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</si>
  <si>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</si>
  <si>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</si>
  <si>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</si>
  <si>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</si>
  <si>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</si>
  <si>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</si>
  <si>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</si>
  <si>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</si>
  <si>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</si>
  <si>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</si>
  <si>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</si>
  <si>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</si>
  <si>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</si>
  <si>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</si>
  <si>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</si>
  <si>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</si>
  <si>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</si>
  <si>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</si>
  <si>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</si>
  <si>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</si>
  <si>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</si>
  <si>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</si>
  <si>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</si>
  <si>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</si>
  <si>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</si>
  <si>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</si>
  <si>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</si>
  <si>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</si>
  <si>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</si>
  <si>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</si>
  <si>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</si>
  <si>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</si>
  <si>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</si>
  <si>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</si>
  <si>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</si>
  <si>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</si>
  <si>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</si>
  <si>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</si>
  <si>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</si>
  <si>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</si>
  <si>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</si>
  <si>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</si>
  <si>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</si>
  <si>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</si>
  <si>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</si>
  <si>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</si>
  <si>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</si>
  <si>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</si>
  <si>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</si>
  <si>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</si>
  <si>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</si>
  <si>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</si>
  <si>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</si>
  <si>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</si>
  <si>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</si>
  <si>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</si>
  <si>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</si>
  <si>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</si>
  <si>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</si>
  <si>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</si>
  <si>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</si>
  <si>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</si>
  <si>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</si>
  <si>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</si>
  <si>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</si>
  <si>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</si>
  <si>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</si>
  <si>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</si>
  <si>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</si>
  <si>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</si>
  <si>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</si>
  <si>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</si>
  <si>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</si>
  <si>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</si>
  <si>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</si>
  <si>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</si>
  <si>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</si>
  <si>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</si>
  <si>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</si>
  <si>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</si>
  <si>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</si>
  <si>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</si>
  <si>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</si>
  <si>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</si>
  <si>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</si>
  <si>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</si>
  <si>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</si>
  <si>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</si>
  <si>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</si>
  <si>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</si>
  <si>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</si>
  <si>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</si>
  <si>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</si>
  <si>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</si>
  <si>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</si>
  <si>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</si>
  <si>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</si>
  <si>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</si>
  <si>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</si>
  <si>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</si>
  <si>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</si>
  <si>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</si>
  <si>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</si>
  <si>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</si>
  <si>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</si>
  <si>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</si>
  <si>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</si>
  <si>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</si>
  <si>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</si>
  <si>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</si>
  <si>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</si>
  <si>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</si>
  <si>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</si>
  <si>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</si>
  <si>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</si>
  <si>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</si>
  <si>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</si>
  <si>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</si>
  <si>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</si>
  <si>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</si>
  <si>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</si>
  <si>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</si>
  <si>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</si>
  <si>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</si>
  <si>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</si>
  <si>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</si>
  <si>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</si>
  <si>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</si>
  <si>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</si>
  <si>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</si>
  <si>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</si>
  <si>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</si>
  <si>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</si>
  <si>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</si>
  <si>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</si>
  <si>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</si>
  <si>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</si>
  <si>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</si>
  <si>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</si>
  <si>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</si>
  <si>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</si>
  <si>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</si>
  <si>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</si>
  <si>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</si>
  <si>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</si>
  <si>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</si>
  <si>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</si>
  <si>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</si>
  <si>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</si>
  <si>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</si>
  <si>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</si>
  <si>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</si>
  <si>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</si>
  <si>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</si>
  <si>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</si>
  <si>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</si>
  <si>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</si>
  <si>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</si>
  <si>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</si>
  <si>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</si>
  <si>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</si>
  <si>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</si>
  <si>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</si>
  <si>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</si>
  <si>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</si>
  <si>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</si>
  <si>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</si>
  <si>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</si>
  <si>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</si>
  <si>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</si>
  <si>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</si>
  <si>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</si>
  <si>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</si>
  <si>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</si>
  <si>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</si>
  <si>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</si>
  <si>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</si>
  <si>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</si>
  <si>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</si>
  <si>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</si>
  <si>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</si>
  <si>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</si>
  <si>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</si>
  <si>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</si>
  <si>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</si>
  <si>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</si>
  <si>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</si>
  <si>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</si>
  <si>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</si>
  <si>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</si>
  <si>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</si>
  <si>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</si>
  <si>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</si>
  <si>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</si>
  <si>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</si>
  <si>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</si>
  <si>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</si>
  <si>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</si>
  <si>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</si>
  <si>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</si>
  <si>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</si>
  <si>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</si>
  <si>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</si>
  <si>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</si>
  <si>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</si>
  <si>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</si>
  <si>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</si>
  <si>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</si>
  <si>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</si>
  <si>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</si>
  <si>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</si>
  <si>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</si>
  <si>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</si>
  <si>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</si>
  <si>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</si>
  <si>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</si>
  <si>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</si>
  <si>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</si>
  <si>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</si>
  <si>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</si>
  <si>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</si>
  <si>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</si>
  <si>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</si>
  <si>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</si>
  <si>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</si>
  <si>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</si>
  <si>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</si>
  <si>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</si>
  <si>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</si>
  <si>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</si>
  <si>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</si>
  <si>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</si>
  <si>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</si>
  <si>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</si>
  <si>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</si>
  <si>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</si>
  <si>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</si>
  <si>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</si>
  <si>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</si>
  <si>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</si>
  <si>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</si>
  <si>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</si>
  <si>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</si>
  <si>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</si>
  <si>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</si>
  <si>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</si>
  <si>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</si>
  <si>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</si>
  <si>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</si>
  <si>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</si>
  <si>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</si>
  <si>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</si>
  <si>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</si>
  <si>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</si>
  <si>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</si>
  <si>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</si>
  <si>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</si>
  <si>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</si>
  <si>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</si>
  <si>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</si>
  <si>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</si>
  <si>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</si>
  <si>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</si>
  <si>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</si>
  <si>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</si>
  <si>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</si>
  <si>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</si>
  <si>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</si>
  <si>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</si>
  <si>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</si>
  <si>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</si>
  <si>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</si>
  <si>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</si>
  <si>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</si>
  <si>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</si>
  <si>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</si>
  <si>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</si>
  <si>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</si>
  <si>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</si>
  <si>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</si>
  <si>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</si>
  <si>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</si>
  <si>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</si>
  <si>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</si>
  <si>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</si>
  <si>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</si>
  <si>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</si>
  <si>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</si>
  <si>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</si>
  <si>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</si>
  <si>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</si>
  <si>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</si>
  <si>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</si>
  <si>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</si>
  <si>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</si>
  <si>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</si>
  <si>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</si>
  <si>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</si>
  <si>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</si>
  <si>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</si>
  <si>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</si>
  <si>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</si>
  <si>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</si>
  <si>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</si>
  <si>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</si>
  <si>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</si>
  <si>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</si>
  <si>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</si>
  <si>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</si>
  <si>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</si>
  <si>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</si>
  <si>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</si>
  <si>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</si>
  <si>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</si>
  <si>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</si>
  <si>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</si>
  <si>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</si>
  <si>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</si>
  <si>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</si>
  <si>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</si>
  <si>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</si>
  <si>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</si>
  <si>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</si>
  <si>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</si>
  <si>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</si>
  <si>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</si>
  <si>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</si>
  <si>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</si>
  <si>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</si>
  <si>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</si>
  <si>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</si>
  <si>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</si>
  <si>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</si>
  <si>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</si>
  <si>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</si>
  <si>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</si>
  <si>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</si>
  <si>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</si>
  <si>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</si>
  <si>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</si>
  <si>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</si>
  <si>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</si>
  <si>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</si>
  <si>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</si>
  <si>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</si>
  <si>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</si>
  <si>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</si>
  <si>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</si>
  <si>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</si>
  <si>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</si>
  <si>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</si>
  <si>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</si>
  <si>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</si>
  <si>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</si>
  <si>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</si>
  <si>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</si>
  <si>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</si>
  <si>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</si>
  <si>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</si>
  <si>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</si>
  <si>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</si>
  <si>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</si>
  <si>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</si>
  <si>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</si>
  <si>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</si>
  <si>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</si>
  <si>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</si>
  <si>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</si>
  <si>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</si>
  <si>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</si>
  <si>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</si>
  <si>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</si>
  <si>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</si>
  <si>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</si>
  <si>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</si>
  <si>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</si>
  <si>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</si>
  <si>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</si>
  <si>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</si>
  <si>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</si>
  <si>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</si>
  <si>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</si>
  <si>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</si>
  <si>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</si>
  <si>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</si>
  <si>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</si>
  <si>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</si>
  <si>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</si>
  <si>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</si>
  <si>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</si>
  <si>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</si>
  <si>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</si>
  <si>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</si>
  <si>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</si>
  <si>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</si>
  <si>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</si>
  <si>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</si>
  <si>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</si>
  <si>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</si>
  <si>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</si>
  <si>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</si>
  <si>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</si>
  <si>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</si>
  <si>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</si>
  <si>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</si>
  <si>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</si>
  <si>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</si>
  <si>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</si>
  <si>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</si>
  <si>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</si>
  <si>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</si>
  <si>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</si>
  <si>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</si>
  <si>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</si>
  <si>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</si>
  <si>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</si>
  <si>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</si>
  <si>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</si>
  <si>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</si>
  <si>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</si>
  <si>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</si>
  <si>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</si>
  <si>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</si>
  <si>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</si>
  <si>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</si>
  <si>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</si>
  <si>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</si>
  <si>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</si>
  <si>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</si>
  <si>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</si>
  <si>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</si>
  <si>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</si>
  <si>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</si>
  <si>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</si>
  <si>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</si>
  <si>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</si>
  <si>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</si>
  <si>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</si>
  <si>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</si>
  <si>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</si>
  <si>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</si>
  <si>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</si>
  <si>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</si>
  <si>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</si>
  <si>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</si>
  <si>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</si>
  <si>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</si>
  <si>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</si>
  <si>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</si>
  <si>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</si>
  <si>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</si>
  <si>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</si>
  <si>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</si>
  <si>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</si>
  <si>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</si>
  <si>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</si>
  <si>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</si>
  <si>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</si>
  <si>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</si>
  <si>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</si>
  <si>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</si>
  <si>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</si>
  <si>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</si>
  <si>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</si>
  <si>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</si>
  <si>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</si>
  <si>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</si>
  <si>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</si>
  <si>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</si>
  <si>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</si>
  <si>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</si>
  <si>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</si>
  <si>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</si>
  <si>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</si>
  <si>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</si>
  <si>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</si>
  <si>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</si>
  <si>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</si>
  <si>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</si>
  <si>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</si>
  <si>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</si>
  <si>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</si>
  <si>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</si>
  <si>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</si>
  <si>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</si>
  <si>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</si>
  <si>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</si>
  <si>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</si>
  <si>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</si>
  <si>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</si>
  <si>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</si>
  <si>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</si>
  <si>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</si>
  <si>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</si>
  <si>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</si>
  <si>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</si>
  <si>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</si>
  <si>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</si>
  <si>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</si>
  <si>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</si>
  <si>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</si>
  <si>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</si>
  <si>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</si>
  <si>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</si>
  <si>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</si>
  <si>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</si>
  <si>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</si>
  <si>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</si>
  <si>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</si>
  <si>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</si>
  <si>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</si>
  <si>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</si>
  <si>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</si>
  <si>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</si>
  <si>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</si>
  <si>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</si>
  <si>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</si>
  <si>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</si>
  <si>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</si>
  <si>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</si>
  <si>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</si>
  <si>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</si>
  <si>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</si>
  <si>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</si>
  <si>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</si>
  <si>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</si>
  <si>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</si>
  <si>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</si>
  <si>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</si>
  <si>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</si>
  <si>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</si>
  <si>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</si>
  <si>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</si>
  <si>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</si>
  <si>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</si>
  <si>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</si>
  <si>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</si>
  <si>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</si>
  <si>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</si>
  <si>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</si>
  <si>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</si>
  <si>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</si>
  <si>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</si>
  <si>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</si>
  <si>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</si>
  <si>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</si>
  <si>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</si>
  <si>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</si>
  <si>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</si>
  <si>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</si>
  <si>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</si>
  <si>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</si>
  <si>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</si>
  <si>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</si>
  <si>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</si>
  <si>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</si>
  <si>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</si>
  <si>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</si>
  <si>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</si>
  <si>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&lt;pub rate</t>
  </si>
  <si>
    <t>MYR368Legoland</t>
  </si>
  <si>
    <t>EOD 31 Aug 2023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</si>
  <si>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</si>
  <si>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</si>
  <si>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</si>
  <si>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</si>
  <si>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</si>
  <si>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</si>
  <si>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</si>
  <si>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</si>
  <si>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</si>
  <si>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EOD xxx 2023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</si>
  <si>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</si>
  <si>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</si>
  <si>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</si>
  <si>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</si>
  <si>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</si>
  <si>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</si>
  <si>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</si>
  <si>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</si>
  <si>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F=FLI2 earmark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</si>
  <si>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</si>
  <si>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</si>
  <si>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</si>
  <si>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</si>
  <si>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</si>
  <si>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</si>
  <si>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</si>
  <si>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</si>
  <si>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</si>
  <si>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</si>
  <si>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</si>
  <si>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</si>
  <si>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</si>
  <si>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</si>
  <si>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</si>
  <si>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</si>
  <si>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</si>
  <si>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</si>
  <si>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</si>
  <si>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</si>
  <si>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</si>
  <si>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</si>
  <si>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</si>
  <si>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</si>
  <si>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</si>
  <si>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</si>
  <si>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</si>
  <si>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</si>
  <si>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</si>
  <si>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</si>
  <si>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</si>
  <si>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</si>
  <si>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</si>
  <si>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</si>
  <si>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</si>
  <si>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</si>
  <si>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</si>
  <si>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</si>
  <si>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</si>
  <si>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</si>
  <si>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</si>
  <si>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</si>
  <si>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</si>
  <si>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</si>
  <si>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</si>
  <si>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</si>
  <si>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</si>
  <si>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</si>
  <si>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</si>
  <si>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</si>
  <si>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</si>
  <si>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</si>
  <si>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</si>
  <si>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</si>
  <si>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</si>
  <si>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</si>
  <si>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Watson 11/9</t>
  </si>
  <si>
    <t>~~ snapshot numbers should</t>
  </si>
  <si>
    <t>..NOT depend on non-snapshot</t>
  </si>
  <si>
    <t>C also items in coupleAsset tab</t>
  </si>
  <si>
    <t>^^ posted 31Aug..confusing</t>
  </si>
  <si>
    <t>citiRBBT-I #final</t>
  </si>
  <si>
    <t>Watson 14/9</t>
  </si>
  <si>
    <t>ATM till 24 Sep</t>
  </si>
  <si>
    <t>taxi{changi</t>
  </si>
  <si>
    <t>53.78 !yet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</si>
  <si>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</si>
  <si>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</si>
  <si>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</si>
  <si>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</si>
  <si>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</si>
  <si>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</si>
  <si>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</si>
  <si>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</si>
  <si>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</si>
  <si>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</si>
  <si>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</si>
  <si>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</si>
  <si>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</si>
  <si>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</si>
  <si>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</si>
  <si>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</si>
  <si>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</si>
  <si>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</si>
  <si>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</si>
  <si>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</si>
  <si>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tax placeholder</t>
  </si>
  <si>
    <t>B4) ePay kids</t>
  </si>
  <si>
    <t>B4b) ePay wife</t>
  </si>
  <si>
    <t>.. IRAS{SCB 27/9</t>
  </si>
  <si>
    <t>.. IRAS{SCB 7/9</t>
  </si>
  <si>
    <t>gave wife</t>
  </si>
  <si>
    <t>HsbcRBBT-I#25/9</t>
  </si>
  <si>
    <t>B2)inv/还债 !burn</t>
  </si>
  <si>
    <t>FCF = LL - F - tBill</t>
  </si>
  <si>
    <t>LL=total asset</t>
  </si>
  <si>
    <t>barber</t>
  </si>
  <si>
    <t>50.1 !show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</si>
  <si>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</si>
  <si>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</si>
  <si>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</si>
  <si>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</si>
  <si>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</si>
  <si>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</si>
  <si>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</si>
  <si>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</si>
  <si>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LL=total liquid #mine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</si>
</sst>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6" tint="-0.24997711111789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0" fillId="0" borderId="0" applyNumberFormat="0" applyFill="0" applyBorder="0" applyAlignment="0" applyProtection="0"/>
  </cellStyleXfs>
  <cellXfs count="104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90" fillId="0" borderId="0" xfId="6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1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7">
    <cellStyle name="Comma" xfId="1" builtinId="3"/>
    <cellStyle name="Currency" xfId="4" builtinId="4"/>
    <cellStyle name="Hyperlink" xfId="6" builtinId="8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26" t="s">
        <v>1875</v>
      </c>
      <c r="C2" s="1026"/>
      <c r="D2" s="1026"/>
      <c r="E2" s="1005" t="s">
        <v>2491</v>
      </c>
      <c r="F2" s="1005" t="s">
        <v>2513</v>
      </c>
      <c r="G2" s="689"/>
      <c r="H2" s="1016"/>
      <c r="I2" s="1004" t="s">
        <v>2617</v>
      </c>
      <c r="J2" s="1004"/>
      <c r="K2" s="1007" t="s">
        <v>2614</v>
      </c>
      <c r="L2" s="1007" t="s">
        <v>2536</v>
      </c>
      <c r="M2" s="1005" t="s">
        <v>2496</v>
      </c>
      <c r="N2" s="1010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1006"/>
      <c r="F3" s="1006"/>
      <c r="G3" s="693"/>
      <c r="H3" s="1017"/>
      <c r="I3" s="694" t="s">
        <v>2579</v>
      </c>
      <c r="J3" s="695" t="s">
        <v>2210</v>
      </c>
      <c r="K3" s="1008"/>
      <c r="L3" s="1008"/>
      <c r="M3" s="1006"/>
      <c r="N3" s="1010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1021" t="s">
        <v>2494</v>
      </c>
      <c r="D10" s="1021"/>
      <c r="E10" s="1021"/>
      <c r="F10" s="1021"/>
      <c r="G10" s="1021"/>
      <c r="H10" s="1021"/>
      <c r="I10" s="1021"/>
      <c r="J10" s="1021"/>
      <c r="K10" s="1021"/>
      <c r="L10" s="1021"/>
      <c r="M10" s="1021"/>
      <c r="N10" s="1021"/>
      <c r="O10" s="1021"/>
      <c r="P10" s="1021"/>
    </row>
    <row r="11" spans="2:16" ht="12.75" customHeight="1">
      <c r="B11" s="564"/>
      <c r="C11" s="556" t="s">
        <v>2509</v>
      </c>
      <c r="D11" s="554"/>
      <c r="E11" s="1011" t="s">
        <v>2491</v>
      </c>
      <c r="F11" s="1011" t="s">
        <v>2513</v>
      </c>
      <c r="G11" s="558"/>
      <c r="H11" s="1014" t="s">
        <v>2502</v>
      </c>
      <c r="I11" s="1018" t="s">
        <v>2727</v>
      </c>
      <c r="J11" s="1022" t="s">
        <v>2615</v>
      </c>
      <c r="K11" s="1022"/>
      <c r="L11" s="1023"/>
      <c r="M11" s="1011" t="s">
        <v>2728</v>
      </c>
      <c r="N11" s="1013" t="s">
        <v>2503</v>
      </c>
    </row>
    <row r="12" spans="2:16">
      <c r="B12" s="564"/>
      <c r="C12" s="550" t="s">
        <v>1873</v>
      </c>
      <c r="D12" s="551" t="s">
        <v>2410</v>
      </c>
      <c r="E12" s="1012"/>
      <c r="F12" s="1012"/>
      <c r="G12" s="560"/>
      <c r="H12" s="1015"/>
      <c r="I12" s="1019"/>
      <c r="J12" s="697" t="s">
        <v>2511</v>
      </c>
      <c r="K12" s="561" t="s">
        <v>1874</v>
      </c>
      <c r="L12" s="1024"/>
      <c r="M12" s="1012"/>
      <c r="N12" s="1013"/>
    </row>
    <row r="13" spans="2:16" s="622" customFormat="1">
      <c r="B13" s="1025">
        <v>8</v>
      </c>
      <c r="C13" s="1025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2870</v>
      </c>
    </row>
    <row r="19" spans="2:18" s="729" customFormat="1">
      <c r="B19" s="824"/>
      <c r="C19" s="1020" t="s">
        <v>2495</v>
      </c>
      <c r="D19" s="1020"/>
      <c r="E19" s="1020"/>
      <c r="F19" s="1020"/>
      <c r="G19" s="1020"/>
      <c r="H19" s="1020"/>
      <c r="I19" s="1020"/>
      <c r="J19" s="1020"/>
      <c r="K19" s="1020"/>
      <c r="L19" s="1020"/>
      <c r="M19" s="1020"/>
      <c r="N19" s="1020"/>
      <c r="O19" s="1020"/>
      <c r="P19" s="1020"/>
    </row>
    <row r="20" spans="2:18" s="729" customFormat="1">
      <c r="B20" s="741"/>
      <c r="G20" s="1009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1009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1009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27">
        <f>SUMPRODUCT(D4:D33,E4:E33)/365</f>
        <v>25.715295438356168</v>
      </c>
      <c r="E34" s="1027"/>
      <c r="F34" s="773"/>
    </row>
    <row r="35" spans="2:11">
      <c r="B35" s="772" t="s">
        <v>2789</v>
      </c>
      <c r="D35" s="1027" t="s">
        <v>2779</v>
      </c>
      <c r="E35" s="1027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2956</v>
      </c>
    </row>
    <row r="3" spans="2:10" ht="14.25">
      <c r="B3" s="242">
        <f t="shared" ref="B3:B33" si="0">MIN(D3,100000)</f>
        <v>0</v>
      </c>
      <c r="C3" s="878"/>
      <c r="D3" s="820">
        <v>0</v>
      </c>
      <c r="E3" s="737">
        <f>VLOOKUP(D3,$H$5:$I$8,2)</f>
        <v>1.5E-3</v>
      </c>
    </row>
    <row r="4" spans="2:10" ht="14.25">
      <c r="B4" s="242">
        <f t="shared" si="0"/>
        <v>0</v>
      </c>
      <c r="C4" s="878">
        <v>45199</v>
      </c>
      <c r="D4" s="820">
        <v>0</v>
      </c>
      <c r="E4" s="737">
        <f>VLOOKUP(D4,$H$5:$I$8,2)</f>
        <v>1.5E-3</v>
      </c>
      <c r="F4" s="737"/>
      <c r="H4" s="219" t="s">
        <v>2866</v>
      </c>
      <c r="I4" s="219" t="s">
        <v>3073</v>
      </c>
      <c r="J4" s="219" t="s">
        <v>2867</v>
      </c>
    </row>
    <row r="5" spans="2:10" ht="14.25">
      <c r="B5" s="242">
        <f t="shared" si="0"/>
        <v>0</v>
      </c>
      <c r="C5" s="878">
        <v>45198</v>
      </c>
      <c r="D5" s="820">
        <v>0</v>
      </c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2869</v>
      </c>
    </row>
    <row r="6" spans="2:10" ht="14.25">
      <c r="B6" s="242">
        <f t="shared" si="0"/>
        <v>0</v>
      </c>
      <c r="C6" s="878">
        <v>45197</v>
      </c>
      <c r="D6" s="820">
        <v>0</v>
      </c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0</v>
      </c>
      <c r="C7" s="878">
        <v>45196</v>
      </c>
      <c r="D7" s="820">
        <v>0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0</v>
      </c>
      <c r="C8" s="878">
        <v>45195</v>
      </c>
      <c r="D8" s="820">
        <v>0</v>
      </c>
      <c r="E8" s="737">
        <f>VLOOKUP(D8,$H$5:$I$8,2)</f>
        <v>1.5E-3</v>
      </c>
      <c r="F8" s="737"/>
      <c r="H8" s="640">
        <v>100000</v>
      </c>
      <c r="I8" s="822">
        <v>4.0000000000000001E-3</v>
      </c>
      <c r="J8" s="219" t="s">
        <v>2868</v>
      </c>
    </row>
    <row r="9" spans="2:10" ht="14.25">
      <c r="B9" s="242">
        <f t="shared" si="0"/>
        <v>0</v>
      </c>
      <c r="C9" s="878">
        <v>45194</v>
      </c>
      <c r="D9" s="820">
        <v>0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0</v>
      </c>
      <c r="C10" s="878">
        <v>45193</v>
      </c>
      <c r="D10" s="820">
        <v>0</v>
      </c>
      <c r="E10" s="737">
        <f t="shared" si="1"/>
        <v>1.5E-3</v>
      </c>
      <c r="F10" s="737"/>
    </row>
    <row r="11" spans="2:10" ht="14.25">
      <c r="B11" s="242">
        <f t="shared" si="0"/>
        <v>0</v>
      </c>
      <c r="C11" s="878">
        <v>45192</v>
      </c>
      <c r="D11" s="820">
        <v>0</v>
      </c>
      <c r="E11" s="737">
        <f>VLOOKUP(D11,$H$5:$I$8,2)</f>
        <v>1.5E-3</v>
      </c>
      <c r="F11" s="737"/>
    </row>
    <row r="12" spans="2:10" ht="14.25">
      <c r="B12" s="242">
        <f t="shared" si="0"/>
        <v>0</v>
      </c>
      <c r="C12" s="878">
        <v>45191</v>
      </c>
      <c r="D12" s="820">
        <v>0</v>
      </c>
      <c r="E12" s="737">
        <f t="shared" si="1"/>
        <v>1.5E-3</v>
      </c>
      <c r="F12" s="737"/>
    </row>
    <row r="13" spans="2:10" ht="14.25">
      <c r="B13" s="242">
        <f t="shared" si="0"/>
        <v>0</v>
      </c>
      <c r="C13" s="878">
        <v>45190</v>
      </c>
      <c r="D13" s="820">
        <v>0</v>
      </c>
      <c r="E13" s="737">
        <f t="shared" si="1"/>
        <v>1.5E-3</v>
      </c>
      <c r="F13" s="737"/>
    </row>
    <row r="14" spans="2:10" ht="14.25">
      <c r="B14" s="242">
        <f t="shared" si="0"/>
        <v>0</v>
      </c>
      <c r="C14" s="878">
        <v>45189</v>
      </c>
      <c r="D14" s="820">
        <v>0</v>
      </c>
      <c r="E14" s="737">
        <f t="shared" si="1"/>
        <v>1.5E-3</v>
      </c>
      <c r="F14" s="737"/>
    </row>
    <row r="15" spans="2:10" ht="14.25">
      <c r="B15" s="242">
        <f t="shared" si="0"/>
        <v>0</v>
      </c>
      <c r="C15" s="878">
        <v>45188</v>
      </c>
      <c r="D15" s="820">
        <v>0</v>
      </c>
      <c r="E15" s="737">
        <f t="shared" si="1"/>
        <v>1.5E-3</v>
      </c>
      <c r="F15" s="737"/>
    </row>
    <row r="16" spans="2:10" ht="14.25">
      <c r="B16" s="242">
        <f t="shared" si="0"/>
        <v>0</v>
      </c>
      <c r="C16" s="878">
        <v>45187</v>
      </c>
      <c r="D16" s="820">
        <v>0</v>
      </c>
      <c r="E16" s="737">
        <f t="shared" si="1"/>
        <v>1.5E-3</v>
      </c>
      <c r="F16" s="737"/>
    </row>
    <row r="17" spans="2:11" ht="14.25">
      <c r="B17" s="242">
        <f t="shared" si="0"/>
        <v>0</v>
      </c>
      <c r="C17" s="878">
        <v>45186</v>
      </c>
      <c r="D17" s="820">
        <v>0</v>
      </c>
      <c r="E17" s="737">
        <f t="shared" si="1"/>
        <v>1.5E-3</v>
      </c>
      <c r="F17" s="737"/>
    </row>
    <row r="18" spans="2:11" ht="14.25">
      <c r="B18" s="242">
        <f t="shared" si="0"/>
        <v>0</v>
      </c>
      <c r="C18" s="878">
        <v>45185</v>
      </c>
      <c r="D18" s="820">
        <v>0</v>
      </c>
      <c r="E18" s="737">
        <f t="shared" si="1"/>
        <v>1.5E-3</v>
      </c>
      <c r="F18" s="737"/>
    </row>
    <row r="19" spans="2:11" ht="14.25">
      <c r="B19" s="242">
        <f t="shared" si="0"/>
        <v>0</v>
      </c>
      <c r="C19" s="878">
        <v>45184</v>
      </c>
      <c r="D19" s="820">
        <v>0</v>
      </c>
      <c r="E19" s="737">
        <f>VLOOKUP(D19,$H$5:$I$8,2)</f>
        <v>1.5E-3</v>
      </c>
      <c r="F19" s="737"/>
    </row>
    <row r="20" spans="2:11" ht="14.25">
      <c r="B20" s="242">
        <f t="shared" si="0"/>
        <v>0</v>
      </c>
      <c r="C20" s="878">
        <v>45183</v>
      </c>
      <c r="D20" s="820">
        <v>0</v>
      </c>
      <c r="E20" s="737">
        <f t="shared" si="1"/>
        <v>1.5E-3</v>
      </c>
      <c r="F20" s="737"/>
    </row>
    <row r="21" spans="2:11" ht="14.25">
      <c r="B21" s="242">
        <f t="shared" si="0"/>
        <v>0</v>
      </c>
      <c r="C21" s="878">
        <v>45182</v>
      </c>
      <c r="D21" s="820">
        <v>0</v>
      </c>
      <c r="E21" s="737">
        <f t="shared" si="1"/>
        <v>1.5E-3</v>
      </c>
      <c r="F21" s="737"/>
    </row>
    <row r="22" spans="2:11" ht="14.25">
      <c r="B22" s="242">
        <f t="shared" si="0"/>
        <v>0</v>
      </c>
      <c r="C22" s="878">
        <v>45181</v>
      </c>
      <c r="D22" s="820">
        <v>0</v>
      </c>
      <c r="E22" s="737">
        <f t="shared" si="1"/>
        <v>1.5E-3</v>
      </c>
      <c r="F22" s="737"/>
    </row>
    <row r="23" spans="2:11" ht="14.25">
      <c r="B23" s="242">
        <f t="shared" si="0"/>
        <v>0</v>
      </c>
      <c r="C23" s="878">
        <v>45180</v>
      </c>
      <c r="D23" s="820">
        <v>0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45179</v>
      </c>
      <c r="D24" s="863">
        <v>100035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45178</v>
      </c>
      <c r="D25" s="863">
        <v>100035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878">
        <v>45177</v>
      </c>
      <c r="D26" s="863">
        <v>100035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878">
        <v>45176</v>
      </c>
      <c r="D27" s="863">
        <v>100035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45175</v>
      </c>
      <c r="D28" s="863">
        <v>100035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45174</v>
      </c>
      <c r="D29" s="863">
        <v>100035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45173</v>
      </c>
      <c r="D30" s="863">
        <v>100035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45172</v>
      </c>
      <c r="D31" s="820">
        <v>101547</v>
      </c>
      <c r="E31" s="737">
        <f t="shared" si="1"/>
        <v>4.0000000000000001E-3</v>
      </c>
      <c r="F31" s="737"/>
      <c r="H31" s="739">
        <f>$B$35</f>
        <v>32258.064516129034</v>
      </c>
      <c r="I31" s="739">
        <f>$B$35</f>
        <v>32258.064516129034</v>
      </c>
      <c r="J31" s="739">
        <f>$B$35</f>
        <v>32258.064516129034</v>
      </c>
    </row>
    <row r="32" spans="2:11" ht="14.25">
      <c r="B32" s="242">
        <f t="shared" si="0"/>
        <v>100000</v>
      </c>
      <c r="C32" s="878">
        <v>45171</v>
      </c>
      <c r="D32" s="820">
        <v>101547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45170</v>
      </c>
      <c r="D33" s="820">
        <v>101547</v>
      </c>
      <c r="E33" s="737">
        <f t="shared" si="1"/>
        <v>4.0000000000000001E-3</v>
      </c>
      <c r="F33" s="737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9">
        <f>D35</f>
        <v>11.012449315068492</v>
      </c>
    </row>
    <row r="34" spans="2:11">
      <c r="B34" s="242"/>
      <c r="C34" s="736"/>
      <c r="D34" s="774"/>
      <c r="E34" s="737"/>
      <c r="F34" s="737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9">
        <f>AVERAGE(B3:B33)</f>
        <v>32258.064516129034</v>
      </c>
      <c r="D35" s="1027">
        <f>SUMPRODUCT(D3:D33,E3:E33)/365</f>
        <v>11.012449315068492</v>
      </c>
      <c r="E35" s="1027"/>
      <c r="F35" s="740"/>
    </row>
    <row r="36" spans="2:11">
      <c r="B36" s="734" t="s">
        <v>2789</v>
      </c>
      <c r="D36" s="1027" t="s">
        <v>2779</v>
      </c>
      <c r="E36" s="1027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2915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2920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2995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28" t="s">
        <v>1897</v>
      </c>
      <c r="D3" s="1028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29" t="s">
        <v>2079</v>
      </c>
      <c r="C2" s="1029"/>
      <c r="D2" s="1030" t="s">
        <v>1875</v>
      </c>
      <c r="E2" s="1030"/>
      <c r="F2" s="471"/>
      <c r="G2" s="471"/>
      <c r="H2" s="378"/>
      <c r="I2" s="1033" t="s">
        <v>2255</v>
      </c>
      <c r="J2" s="1034"/>
      <c r="K2" s="1034"/>
      <c r="L2" s="1034"/>
      <c r="M2" s="1034"/>
      <c r="N2" s="1034"/>
      <c r="O2" s="1035"/>
      <c r="P2" s="438"/>
      <c r="Q2" s="1036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41" t="s">
        <v>2281</v>
      </c>
      <c r="G3" s="1042"/>
      <c r="H3" s="378"/>
      <c r="I3" s="433"/>
      <c r="J3" s="472"/>
      <c r="K3" s="1038" t="s">
        <v>2418</v>
      </c>
      <c r="L3" s="1039"/>
      <c r="M3" s="1040"/>
      <c r="N3" s="476"/>
      <c r="O3" s="430"/>
      <c r="P3" s="470"/>
      <c r="Q3" s="1037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3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3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3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32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51" t="s">
        <v>124</v>
      </c>
      <c r="C1" s="951"/>
      <c r="D1" s="954" t="s">
        <v>292</v>
      </c>
      <c r="E1" s="954"/>
      <c r="F1" s="954" t="s">
        <v>341</v>
      </c>
      <c r="G1" s="954"/>
      <c r="H1" s="952" t="s">
        <v>127</v>
      </c>
      <c r="I1" s="952"/>
      <c r="J1" s="948" t="s">
        <v>292</v>
      </c>
      <c r="K1" s="948"/>
      <c r="L1" s="953" t="s">
        <v>520</v>
      </c>
      <c r="M1" s="953"/>
      <c r="N1" s="952" t="s">
        <v>146</v>
      </c>
      <c r="O1" s="952"/>
      <c r="P1" s="948" t="s">
        <v>293</v>
      </c>
      <c r="Q1" s="948"/>
      <c r="R1" s="953" t="s">
        <v>522</v>
      </c>
      <c r="S1" s="953"/>
      <c r="T1" s="942" t="s">
        <v>193</v>
      </c>
      <c r="U1" s="942"/>
      <c r="V1" s="948" t="s">
        <v>292</v>
      </c>
      <c r="W1" s="948"/>
      <c r="X1" s="947" t="s">
        <v>524</v>
      </c>
      <c r="Y1" s="947"/>
      <c r="Z1" s="942" t="s">
        <v>241</v>
      </c>
      <c r="AA1" s="942"/>
      <c r="AB1" s="949" t="s">
        <v>292</v>
      </c>
      <c r="AC1" s="949"/>
      <c r="AD1" s="950" t="s">
        <v>524</v>
      </c>
      <c r="AE1" s="950"/>
      <c r="AF1" s="942" t="s">
        <v>367</v>
      </c>
      <c r="AG1" s="942"/>
      <c r="AH1" s="949" t="s">
        <v>292</v>
      </c>
      <c r="AI1" s="949"/>
      <c r="AJ1" s="947" t="s">
        <v>530</v>
      </c>
      <c r="AK1" s="947"/>
      <c r="AL1" s="942" t="s">
        <v>389</v>
      </c>
      <c r="AM1" s="942"/>
      <c r="AN1" s="959" t="s">
        <v>292</v>
      </c>
      <c r="AO1" s="959"/>
      <c r="AP1" s="957" t="s">
        <v>531</v>
      </c>
      <c r="AQ1" s="957"/>
      <c r="AR1" s="942" t="s">
        <v>416</v>
      </c>
      <c r="AS1" s="942"/>
      <c r="AV1" s="957" t="s">
        <v>285</v>
      </c>
      <c r="AW1" s="957"/>
      <c r="AX1" s="960" t="s">
        <v>998</v>
      </c>
      <c r="AY1" s="960"/>
      <c r="AZ1" s="960"/>
      <c r="BA1" s="208"/>
      <c r="BB1" s="955">
        <v>42942</v>
      </c>
      <c r="BC1" s="956"/>
      <c r="BD1" s="95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41" t="s">
        <v>261</v>
      </c>
      <c r="U4" s="941"/>
      <c r="X4" s="119" t="s">
        <v>233</v>
      </c>
      <c r="Y4" s="123">
        <f>Y3-Y6</f>
        <v>4.9669099999591708</v>
      </c>
      <c r="Z4" s="941" t="s">
        <v>262</v>
      </c>
      <c r="AA4" s="941"/>
      <c r="AD4" s="154" t="s">
        <v>233</v>
      </c>
      <c r="AE4" s="154">
        <f>AE3-AE5</f>
        <v>-52.526899999851594</v>
      </c>
      <c r="AF4" s="941" t="s">
        <v>262</v>
      </c>
      <c r="AG4" s="941"/>
      <c r="AH4" s="143"/>
      <c r="AI4" s="143"/>
      <c r="AJ4" s="154" t="s">
        <v>233</v>
      </c>
      <c r="AK4" s="154">
        <f>AK3-AK5</f>
        <v>94.988909999992757</v>
      </c>
      <c r="AL4" s="941" t="s">
        <v>262</v>
      </c>
      <c r="AM4" s="941"/>
      <c r="AP4" s="170" t="s">
        <v>233</v>
      </c>
      <c r="AQ4" s="174">
        <f>AQ3-AQ5</f>
        <v>33.841989999942598</v>
      </c>
      <c r="AR4" s="941" t="s">
        <v>262</v>
      </c>
      <c r="AS4" s="941"/>
      <c r="AX4" s="941" t="s">
        <v>564</v>
      </c>
      <c r="AY4" s="941"/>
      <c r="BB4" s="941" t="s">
        <v>567</v>
      </c>
      <c r="BC4" s="94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41"/>
      <c r="U5" s="941"/>
      <c r="V5" s="3" t="s">
        <v>258</v>
      </c>
      <c r="W5">
        <v>2050</v>
      </c>
      <c r="X5" s="82"/>
      <c r="Z5" s="941"/>
      <c r="AA5" s="94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41"/>
      <c r="AG5" s="941"/>
      <c r="AH5" s="143"/>
      <c r="AI5" s="143"/>
      <c r="AJ5" s="154" t="s">
        <v>352</v>
      </c>
      <c r="AK5" s="162">
        <f>SUM(AK11:AK59)</f>
        <v>30858.011000000002</v>
      </c>
      <c r="AL5" s="941"/>
      <c r="AM5" s="94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41"/>
      <c r="AS5" s="941"/>
      <c r="AX5" s="941"/>
      <c r="AY5" s="941"/>
      <c r="BB5" s="941"/>
      <c r="BC5" s="941"/>
      <c r="BD5" s="958" t="s">
        <v>999</v>
      </c>
      <c r="BE5" s="958"/>
      <c r="BF5" s="958"/>
      <c r="BG5" s="958"/>
      <c r="BH5" s="958"/>
      <c r="BI5" s="958"/>
      <c r="BJ5" s="958"/>
      <c r="BK5" s="95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43" t="s">
        <v>264</v>
      </c>
      <c r="W23" s="94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45"/>
      <c r="W24" s="94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61" t="s">
        <v>2656</v>
      </c>
      <c r="H3" s="962"/>
      <c r="I3" s="590"/>
      <c r="J3" s="961" t="s">
        <v>2657</v>
      </c>
      <c r="K3" s="962"/>
      <c r="L3" s="299"/>
      <c r="M3" s="961">
        <v>43739</v>
      </c>
      <c r="N3" s="962"/>
      <c r="O3" s="961">
        <v>42401</v>
      </c>
      <c r="P3" s="962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67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68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68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68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6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68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68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68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69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70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71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66">
        <f>G40/F42+H40</f>
        <v>1932511.2781954887</v>
      </c>
      <c r="H43" s="96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65">
        <f>H40*F42+G40</f>
        <v>2570240</v>
      </c>
      <c r="H44" s="965"/>
      <c r="I44" s="2"/>
      <c r="J44" s="965">
        <f>K40*1.37+J40</f>
        <v>1877697.6600000001</v>
      </c>
      <c r="K44" s="965"/>
      <c r="L44" s="2"/>
      <c r="M44" s="965">
        <f>N40*1.37+M40</f>
        <v>1789659</v>
      </c>
      <c r="N44" s="965"/>
      <c r="O44" s="965">
        <f>P40*1.36+O40</f>
        <v>1320187.2</v>
      </c>
      <c r="P44" s="96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64" t="s">
        <v>1186</v>
      </c>
      <c r="C47" s="964"/>
      <c r="D47" s="964"/>
      <c r="E47" s="964"/>
      <c r="F47" s="964"/>
      <c r="G47" s="964"/>
      <c r="H47" s="964"/>
      <c r="I47" s="964"/>
      <c r="J47" s="964"/>
      <c r="K47" s="964"/>
      <c r="L47" s="964"/>
      <c r="M47" s="964"/>
      <c r="N47" s="964"/>
    </row>
    <row r="48" spans="2:16">
      <c r="B48" s="964" t="s">
        <v>2553</v>
      </c>
      <c r="C48" s="964"/>
      <c r="D48" s="964"/>
      <c r="E48" s="964"/>
      <c r="F48" s="964"/>
      <c r="G48" s="964"/>
      <c r="H48" s="964"/>
      <c r="I48" s="964"/>
      <c r="J48" s="964"/>
      <c r="K48" s="964"/>
      <c r="L48" s="964"/>
      <c r="M48" s="964"/>
      <c r="N48" s="964"/>
    </row>
    <row r="49" spans="2:14">
      <c r="B49" s="964" t="s">
        <v>2552</v>
      </c>
      <c r="C49" s="964"/>
      <c r="D49" s="964"/>
      <c r="E49" s="964"/>
      <c r="F49" s="964"/>
      <c r="G49" s="964"/>
      <c r="H49" s="964"/>
      <c r="I49" s="964"/>
      <c r="J49" s="964"/>
      <c r="K49" s="964"/>
      <c r="L49" s="964"/>
      <c r="M49" s="964"/>
      <c r="N49" s="964"/>
    </row>
    <row r="50" spans="2:14">
      <c r="B50" s="963" t="s">
        <v>2551</v>
      </c>
      <c r="C50" s="963"/>
      <c r="D50" s="963"/>
      <c r="E50" s="963"/>
      <c r="F50" s="963"/>
      <c r="G50" s="963"/>
      <c r="H50" s="963"/>
      <c r="I50" s="963"/>
      <c r="J50" s="963"/>
      <c r="K50" s="963"/>
      <c r="L50" s="963"/>
      <c r="M50" s="963"/>
      <c r="N50" s="963"/>
    </row>
    <row r="51" spans="2:14">
      <c r="B51" s="963"/>
      <c r="C51" s="963"/>
      <c r="D51" s="963"/>
      <c r="E51" s="963"/>
      <c r="F51" s="963"/>
      <c r="G51" s="963"/>
      <c r="H51" s="963"/>
      <c r="I51" s="963"/>
      <c r="J51" s="963"/>
      <c r="K51" s="963"/>
      <c r="L51" s="963"/>
      <c r="M51" s="963"/>
      <c r="N51" s="963"/>
    </row>
    <row r="52" spans="2:14">
      <c r="B52" s="963"/>
      <c r="C52" s="963"/>
      <c r="D52" s="963"/>
      <c r="E52" s="963"/>
      <c r="F52" s="963"/>
      <c r="G52" s="963"/>
      <c r="H52" s="963"/>
      <c r="I52" s="963"/>
      <c r="J52" s="963"/>
      <c r="K52" s="963"/>
      <c r="L52" s="963"/>
      <c r="M52" s="963"/>
      <c r="N52" s="96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73" t="s">
        <v>2645</v>
      </c>
      <c r="F38" s="974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72" t="s">
        <v>989</v>
      </c>
      <c r="C41" s="972"/>
      <c r="D41" s="972"/>
      <c r="E41" s="972"/>
      <c r="F41" s="972"/>
      <c r="G41" s="972"/>
      <c r="H41" s="97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51" t="s">
        <v>909</v>
      </c>
      <c r="C1" s="951"/>
      <c r="D1" s="950" t="s">
        <v>515</v>
      </c>
      <c r="E1" s="950"/>
      <c r="F1" s="951" t="s">
        <v>513</v>
      </c>
      <c r="G1" s="951"/>
      <c r="H1" s="978" t="s">
        <v>549</v>
      </c>
      <c r="I1" s="978"/>
      <c r="J1" s="950" t="s">
        <v>515</v>
      </c>
      <c r="K1" s="950"/>
      <c r="L1" s="951" t="s">
        <v>908</v>
      </c>
      <c r="M1" s="951"/>
      <c r="N1" s="978" t="s">
        <v>549</v>
      </c>
      <c r="O1" s="978"/>
      <c r="P1" s="950" t="s">
        <v>515</v>
      </c>
      <c r="Q1" s="950"/>
      <c r="R1" s="951" t="s">
        <v>552</v>
      </c>
      <c r="S1" s="951"/>
      <c r="T1" s="978" t="s">
        <v>549</v>
      </c>
      <c r="U1" s="978"/>
      <c r="V1" s="950" t="s">
        <v>515</v>
      </c>
      <c r="W1" s="950"/>
      <c r="X1" s="951" t="s">
        <v>907</v>
      </c>
      <c r="Y1" s="951"/>
      <c r="Z1" s="978" t="s">
        <v>549</v>
      </c>
      <c r="AA1" s="978"/>
      <c r="AB1" s="950" t="s">
        <v>515</v>
      </c>
      <c r="AC1" s="950"/>
      <c r="AD1" s="951" t="s">
        <v>591</v>
      </c>
      <c r="AE1" s="951"/>
      <c r="AF1" s="978" t="s">
        <v>549</v>
      </c>
      <c r="AG1" s="978"/>
      <c r="AH1" s="950" t="s">
        <v>515</v>
      </c>
      <c r="AI1" s="950"/>
      <c r="AJ1" s="951" t="s">
        <v>906</v>
      </c>
      <c r="AK1" s="951"/>
      <c r="AL1" s="978" t="s">
        <v>626</v>
      </c>
      <c r="AM1" s="978"/>
      <c r="AN1" s="950" t="s">
        <v>627</v>
      </c>
      <c r="AO1" s="950"/>
      <c r="AP1" s="951" t="s">
        <v>621</v>
      </c>
      <c r="AQ1" s="951"/>
      <c r="AR1" s="978" t="s">
        <v>549</v>
      </c>
      <c r="AS1" s="978"/>
      <c r="AT1" s="950" t="s">
        <v>515</v>
      </c>
      <c r="AU1" s="950"/>
      <c r="AV1" s="951" t="s">
        <v>905</v>
      </c>
      <c r="AW1" s="951"/>
      <c r="AX1" s="978" t="s">
        <v>549</v>
      </c>
      <c r="AY1" s="978"/>
      <c r="AZ1" s="950" t="s">
        <v>515</v>
      </c>
      <c r="BA1" s="950"/>
      <c r="BB1" s="951" t="s">
        <v>653</v>
      </c>
      <c r="BC1" s="951"/>
      <c r="BD1" s="978" t="s">
        <v>549</v>
      </c>
      <c r="BE1" s="978"/>
      <c r="BF1" s="950" t="s">
        <v>515</v>
      </c>
      <c r="BG1" s="950"/>
      <c r="BH1" s="951" t="s">
        <v>904</v>
      </c>
      <c r="BI1" s="951"/>
      <c r="BJ1" s="978" t="s">
        <v>549</v>
      </c>
      <c r="BK1" s="978"/>
      <c r="BL1" s="950" t="s">
        <v>515</v>
      </c>
      <c r="BM1" s="950"/>
      <c r="BN1" s="951" t="s">
        <v>921</v>
      </c>
      <c r="BO1" s="951"/>
      <c r="BP1" s="978" t="s">
        <v>549</v>
      </c>
      <c r="BQ1" s="978"/>
      <c r="BR1" s="950" t="s">
        <v>515</v>
      </c>
      <c r="BS1" s="950"/>
      <c r="BT1" s="951" t="s">
        <v>903</v>
      </c>
      <c r="BU1" s="951"/>
      <c r="BV1" s="978" t="s">
        <v>704</v>
      </c>
      <c r="BW1" s="978"/>
      <c r="BX1" s="950" t="s">
        <v>705</v>
      </c>
      <c r="BY1" s="950"/>
      <c r="BZ1" s="951" t="s">
        <v>703</v>
      </c>
      <c r="CA1" s="951"/>
      <c r="CB1" s="978" t="s">
        <v>730</v>
      </c>
      <c r="CC1" s="978"/>
      <c r="CD1" s="950" t="s">
        <v>731</v>
      </c>
      <c r="CE1" s="950"/>
      <c r="CF1" s="951" t="s">
        <v>902</v>
      </c>
      <c r="CG1" s="951"/>
      <c r="CH1" s="978" t="s">
        <v>730</v>
      </c>
      <c r="CI1" s="978"/>
      <c r="CJ1" s="950" t="s">
        <v>731</v>
      </c>
      <c r="CK1" s="950"/>
      <c r="CL1" s="951" t="s">
        <v>748</v>
      </c>
      <c r="CM1" s="951"/>
      <c r="CN1" s="978" t="s">
        <v>730</v>
      </c>
      <c r="CO1" s="978"/>
      <c r="CP1" s="950" t="s">
        <v>731</v>
      </c>
      <c r="CQ1" s="950"/>
      <c r="CR1" s="951" t="s">
        <v>901</v>
      </c>
      <c r="CS1" s="951"/>
      <c r="CT1" s="978" t="s">
        <v>730</v>
      </c>
      <c r="CU1" s="978"/>
      <c r="CV1" s="976" t="s">
        <v>731</v>
      </c>
      <c r="CW1" s="976"/>
      <c r="CX1" s="951" t="s">
        <v>769</v>
      </c>
      <c r="CY1" s="951"/>
      <c r="CZ1" s="978" t="s">
        <v>730</v>
      </c>
      <c r="DA1" s="978"/>
      <c r="DB1" s="976" t="s">
        <v>731</v>
      </c>
      <c r="DC1" s="976"/>
      <c r="DD1" s="951" t="s">
        <v>900</v>
      </c>
      <c r="DE1" s="951"/>
      <c r="DF1" s="978" t="s">
        <v>816</v>
      </c>
      <c r="DG1" s="978"/>
      <c r="DH1" s="976" t="s">
        <v>817</v>
      </c>
      <c r="DI1" s="976"/>
      <c r="DJ1" s="951" t="s">
        <v>809</v>
      </c>
      <c r="DK1" s="951"/>
      <c r="DL1" s="978" t="s">
        <v>816</v>
      </c>
      <c r="DM1" s="978"/>
      <c r="DN1" s="976" t="s">
        <v>731</v>
      </c>
      <c r="DO1" s="976"/>
      <c r="DP1" s="951" t="s">
        <v>899</v>
      </c>
      <c r="DQ1" s="951"/>
      <c r="DR1" s="978" t="s">
        <v>816</v>
      </c>
      <c r="DS1" s="978"/>
      <c r="DT1" s="976" t="s">
        <v>731</v>
      </c>
      <c r="DU1" s="976"/>
      <c r="DV1" s="951" t="s">
        <v>898</v>
      </c>
      <c r="DW1" s="951"/>
      <c r="DX1" s="978" t="s">
        <v>816</v>
      </c>
      <c r="DY1" s="978"/>
      <c r="DZ1" s="976" t="s">
        <v>731</v>
      </c>
      <c r="EA1" s="976"/>
      <c r="EB1" s="951" t="s">
        <v>897</v>
      </c>
      <c r="EC1" s="951"/>
      <c r="ED1" s="978" t="s">
        <v>816</v>
      </c>
      <c r="EE1" s="978"/>
      <c r="EF1" s="976" t="s">
        <v>731</v>
      </c>
      <c r="EG1" s="976"/>
      <c r="EH1" s="951" t="s">
        <v>883</v>
      </c>
      <c r="EI1" s="951"/>
      <c r="EJ1" s="978" t="s">
        <v>816</v>
      </c>
      <c r="EK1" s="978"/>
      <c r="EL1" s="976" t="s">
        <v>936</v>
      </c>
      <c r="EM1" s="976"/>
      <c r="EN1" s="951" t="s">
        <v>922</v>
      </c>
      <c r="EO1" s="951"/>
      <c r="EP1" s="978" t="s">
        <v>816</v>
      </c>
      <c r="EQ1" s="978"/>
      <c r="ER1" s="976" t="s">
        <v>950</v>
      </c>
      <c r="ES1" s="976"/>
      <c r="ET1" s="951" t="s">
        <v>937</v>
      </c>
      <c r="EU1" s="951"/>
      <c r="EV1" s="978" t="s">
        <v>816</v>
      </c>
      <c r="EW1" s="978"/>
      <c r="EX1" s="976" t="s">
        <v>530</v>
      </c>
      <c r="EY1" s="976"/>
      <c r="EZ1" s="951" t="s">
        <v>952</v>
      </c>
      <c r="FA1" s="951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77" t="s">
        <v>779</v>
      </c>
      <c r="CU7" s="95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77" t="s">
        <v>778</v>
      </c>
      <c r="DA8" s="95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77" t="s">
        <v>778</v>
      </c>
      <c r="DG8" s="95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77" t="s">
        <v>778</v>
      </c>
      <c r="DM8" s="95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77" t="s">
        <v>778</v>
      </c>
      <c r="DS8" s="951"/>
      <c r="DT8" s="142" t="s">
        <v>783</v>
      </c>
      <c r="DU8" s="142">
        <f>SUM(DU13:DU17)</f>
        <v>32</v>
      </c>
      <c r="DV8" s="63"/>
      <c r="DW8" s="63"/>
      <c r="DX8" s="977" t="s">
        <v>778</v>
      </c>
      <c r="DY8" s="95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77" t="s">
        <v>928</v>
      </c>
      <c r="EK8" s="95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77" t="s">
        <v>928</v>
      </c>
      <c r="EQ9" s="95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77" t="s">
        <v>928</v>
      </c>
      <c r="EW9" s="95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77" t="s">
        <v>928</v>
      </c>
      <c r="EE11" s="95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77" t="s">
        <v>778</v>
      </c>
      <c r="CU12" s="95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42" t="s">
        <v>782</v>
      </c>
      <c r="CU19" s="94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64" t="s">
        <v>858</v>
      </c>
      <c r="FA21" s="964"/>
      <c r="FC21" s="238">
        <f>FC20-FC22</f>
        <v>113457.16899999997</v>
      </c>
      <c r="FD21" s="230"/>
      <c r="FE21" s="975" t="s">
        <v>1546</v>
      </c>
      <c r="FF21" s="975"/>
      <c r="FG21" s="97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64" t="s">
        <v>871</v>
      </c>
      <c r="FA22" s="96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64" t="s">
        <v>1000</v>
      </c>
      <c r="FA23" s="96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64" t="s">
        <v>1076</v>
      </c>
      <c r="FA24" s="96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7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8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7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8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R79"/>
  <sheetViews>
    <sheetView tabSelected="1" topLeftCell="KI1" zoomScaleNormal="100" workbookViewId="0">
      <selection activeCell="KN14" sqref="KN14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customWidth="1"/>
    <col min="288" max="288" width="17.7109375" style="844" customWidth="1"/>
    <col min="289" max="289" width="8.140625" style="859" customWidth="1"/>
    <col min="290" max="290" width="15.85546875" style="849" customWidth="1"/>
    <col min="291" max="291" width="10.140625" style="849" customWidth="1"/>
    <col min="292" max="292" width="16.85546875" style="849" customWidth="1"/>
    <col min="293" max="293" width="11.85546875" style="849" customWidth="1"/>
    <col min="294" max="294" width="18.7109375" style="890" customWidth="1"/>
    <col min="295" max="295" width="8" style="890" customWidth="1"/>
    <col min="296" max="296" width="19.140625" style="890" customWidth="1"/>
    <col min="297" max="297" width="10.140625" style="890" bestFit="1" customWidth="1"/>
    <col min="298" max="298" width="16.85546875" style="890" customWidth="1"/>
    <col min="299" max="299" width="14.5703125" style="890" bestFit="1" customWidth="1"/>
    <col min="300" max="300" width="19" style="890" bestFit="1" customWidth="1"/>
    <col min="301" max="301" width="9.7109375" style="890" bestFit="1" customWidth="1"/>
    <col min="302" max="302" width="6.85546875" style="890" bestFit="1" customWidth="1"/>
    <col min="303" max="303" width="9.28515625" customWidth="1"/>
    <col min="304" max="304" width="8.85546875" customWidth="1"/>
  </cols>
  <sheetData>
    <row r="1" spans="1:304" s="142" customFormat="1">
      <c r="A1" s="991" t="s">
        <v>1209</v>
      </c>
      <c r="B1" s="991"/>
      <c r="C1" s="959" t="s">
        <v>292</v>
      </c>
      <c r="D1" s="959"/>
      <c r="E1" s="957" t="s">
        <v>1010</v>
      </c>
      <c r="F1" s="957"/>
      <c r="G1" s="991" t="s">
        <v>1210</v>
      </c>
      <c r="H1" s="991"/>
      <c r="I1" s="959" t="s">
        <v>292</v>
      </c>
      <c r="J1" s="959"/>
      <c r="K1" s="957" t="s">
        <v>1011</v>
      </c>
      <c r="L1" s="957"/>
      <c r="M1" s="991" t="s">
        <v>1211</v>
      </c>
      <c r="N1" s="991"/>
      <c r="O1" s="959" t="s">
        <v>292</v>
      </c>
      <c r="P1" s="959"/>
      <c r="Q1" s="957" t="s">
        <v>1057</v>
      </c>
      <c r="R1" s="957"/>
      <c r="S1" s="991" t="s">
        <v>1212</v>
      </c>
      <c r="T1" s="991"/>
      <c r="U1" s="959" t="s">
        <v>292</v>
      </c>
      <c r="V1" s="959"/>
      <c r="W1" s="957" t="s">
        <v>627</v>
      </c>
      <c r="X1" s="957"/>
      <c r="Y1" s="991" t="s">
        <v>1213</v>
      </c>
      <c r="Z1" s="991"/>
      <c r="AA1" s="959" t="s">
        <v>292</v>
      </c>
      <c r="AB1" s="959"/>
      <c r="AC1" s="957" t="s">
        <v>1084</v>
      </c>
      <c r="AD1" s="957"/>
      <c r="AE1" s="991" t="s">
        <v>1214</v>
      </c>
      <c r="AF1" s="991"/>
      <c r="AG1" s="959" t="s">
        <v>292</v>
      </c>
      <c r="AH1" s="959"/>
      <c r="AI1" s="957" t="s">
        <v>1134</v>
      </c>
      <c r="AJ1" s="957"/>
      <c r="AK1" s="991" t="s">
        <v>1217</v>
      </c>
      <c r="AL1" s="991"/>
      <c r="AM1" s="959" t="s">
        <v>1132</v>
      </c>
      <c r="AN1" s="959"/>
      <c r="AO1" s="957" t="s">
        <v>1133</v>
      </c>
      <c r="AP1" s="957"/>
      <c r="AQ1" s="991" t="s">
        <v>1218</v>
      </c>
      <c r="AR1" s="991"/>
      <c r="AS1" s="959" t="s">
        <v>1132</v>
      </c>
      <c r="AT1" s="959"/>
      <c r="AU1" s="957" t="s">
        <v>1178</v>
      </c>
      <c r="AV1" s="957"/>
      <c r="AW1" s="991" t="s">
        <v>1215</v>
      </c>
      <c r="AX1" s="991"/>
      <c r="AY1" s="957" t="s">
        <v>1241</v>
      </c>
      <c r="AZ1" s="957"/>
      <c r="BA1" s="991" t="s">
        <v>1215</v>
      </c>
      <c r="BB1" s="991"/>
      <c r="BC1" s="959" t="s">
        <v>816</v>
      </c>
      <c r="BD1" s="959"/>
      <c r="BE1" s="957" t="s">
        <v>1208</v>
      </c>
      <c r="BF1" s="957"/>
      <c r="BG1" s="991" t="s">
        <v>1216</v>
      </c>
      <c r="BH1" s="991"/>
      <c r="BI1" s="959" t="s">
        <v>816</v>
      </c>
      <c r="BJ1" s="959"/>
      <c r="BK1" s="957" t="s">
        <v>1208</v>
      </c>
      <c r="BL1" s="957"/>
      <c r="BM1" s="991" t="s">
        <v>1226</v>
      </c>
      <c r="BN1" s="991"/>
      <c r="BO1" s="959" t="s">
        <v>816</v>
      </c>
      <c r="BP1" s="959"/>
      <c r="BQ1" s="957" t="s">
        <v>1244</v>
      </c>
      <c r="BR1" s="957"/>
      <c r="BS1" s="991" t="s">
        <v>1243</v>
      </c>
      <c r="BT1" s="991"/>
      <c r="BU1" s="959" t="s">
        <v>816</v>
      </c>
      <c r="BV1" s="959"/>
      <c r="BW1" s="957" t="s">
        <v>1248</v>
      </c>
      <c r="BX1" s="957"/>
      <c r="BY1" s="991" t="s">
        <v>1270</v>
      </c>
      <c r="BZ1" s="991"/>
      <c r="CA1" s="959" t="s">
        <v>816</v>
      </c>
      <c r="CB1" s="959"/>
      <c r="CC1" s="957" t="s">
        <v>1244</v>
      </c>
      <c r="CD1" s="957"/>
      <c r="CE1" s="991" t="s">
        <v>1291</v>
      </c>
      <c r="CF1" s="991"/>
      <c r="CG1" s="959" t="s">
        <v>816</v>
      </c>
      <c r="CH1" s="959"/>
      <c r="CI1" s="957" t="s">
        <v>1248</v>
      </c>
      <c r="CJ1" s="957"/>
      <c r="CK1" s="991" t="s">
        <v>1307</v>
      </c>
      <c r="CL1" s="991"/>
      <c r="CM1" s="959" t="s">
        <v>816</v>
      </c>
      <c r="CN1" s="959"/>
      <c r="CO1" s="957" t="s">
        <v>1244</v>
      </c>
      <c r="CP1" s="957"/>
      <c r="CQ1" s="991" t="s">
        <v>1335</v>
      </c>
      <c r="CR1" s="991"/>
      <c r="CS1" s="982" t="s">
        <v>816</v>
      </c>
      <c r="CT1" s="982"/>
      <c r="CU1" s="957" t="s">
        <v>1391</v>
      </c>
      <c r="CV1" s="957"/>
      <c r="CW1" s="991" t="s">
        <v>1374</v>
      </c>
      <c r="CX1" s="991"/>
      <c r="CY1" s="982" t="s">
        <v>816</v>
      </c>
      <c r="CZ1" s="982"/>
      <c r="DA1" s="957" t="s">
        <v>1597</v>
      </c>
      <c r="DB1" s="957"/>
      <c r="DC1" s="991" t="s">
        <v>1394</v>
      </c>
      <c r="DD1" s="991"/>
      <c r="DE1" s="982" t="s">
        <v>816</v>
      </c>
      <c r="DF1" s="982"/>
      <c r="DG1" s="957" t="s">
        <v>1491</v>
      </c>
      <c r="DH1" s="957"/>
      <c r="DI1" s="991" t="s">
        <v>1594</v>
      </c>
      <c r="DJ1" s="991"/>
      <c r="DK1" s="982" t="s">
        <v>816</v>
      </c>
      <c r="DL1" s="982"/>
      <c r="DM1" s="957" t="s">
        <v>1391</v>
      </c>
      <c r="DN1" s="957"/>
      <c r="DO1" s="991" t="s">
        <v>1595</v>
      </c>
      <c r="DP1" s="991"/>
      <c r="DQ1" s="982" t="s">
        <v>816</v>
      </c>
      <c r="DR1" s="982"/>
      <c r="DS1" s="957" t="s">
        <v>1590</v>
      </c>
      <c r="DT1" s="957"/>
      <c r="DU1" s="991" t="s">
        <v>1596</v>
      </c>
      <c r="DV1" s="991"/>
      <c r="DW1" s="982" t="s">
        <v>816</v>
      </c>
      <c r="DX1" s="982"/>
      <c r="DY1" s="957" t="s">
        <v>1616</v>
      </c>
      <c r="DZ1" s="957"/>
      <c r="EA1" s="981" t="s">
        <v>1611</v>
      </c>
      <c r="EB1" s="981"/>
      <c r="EC1" s="982" t="s">
        <v>816</v>
      </c>
      <c r="ED1" s="982"/>
      <c r="EE1" s="957" t="s">
        <v>1590</v>
      </c>
      <c r="EF1" s="957"/>
      <c r="EG1" s="361"/>
      <c r="EH1" s="981" t="s">
        <v>1641</v>
      </c>
      <c r="EI1" s="981"/>
      <c r="EJ1" s="982" t="s">
        <v>816</v>
      </c>
      <c r="EK1" s="982"/>
      <c r="EL1" s="957" t="s">
        <v>1675</v>
      </c>
      <c r="EM1" s="957"/>
      <c r="EN1" s="981" t="s">
        <v>1666</v>
      </c>
      <c r="EO1" s="981"/>
      <c r="EP1" s="982" t="s">
        <v>816</v>
      </c>
      <c r="EQ1" s="982"/>
      <c r="ER1" s="957" t="s">
        <v>1715</v>
      </c>
      <c r="ES1" s="957"/>
      <c r="ET1" s="981" t="s">
        <v>1708</v>
      </c>
      <c r="EU1" s="981"/>
      <c r="EV1" s="982" t="s">
        <v>816</v>
      </c>
      <c r="EW1" s="982"/>
      <c r="EX1" s="957" t="s">
        <v>1616</v>
      </c>
      <c r="EY1" s="957"/>
      <c r="EZ1" s="981" t="s">
        <v>1743</v>
      </c>
      <c r="FA1" s="981"/>
      <c r="FB1" s="982" t="s">
        <v>816</v>
      </c>
      <c r="FC1" s="982"/>
      <c r="FD1" s="957" t="s">
        <v>1597</v>
      </c>
      <c r="FE1" s="957"/>
      <c r="FF1" s="981" t="s">
        <v>1782</v>
      </c>
      <c r="FG1" s="981"/>
      <c r="FH1" s="982" t="s">
        <v>816</v>
      </c>
      <c r="FI1" s="982"/>
      <c r="FJ1" s="957" t="s">
        <v>1391</v>
      </c>
      <c r="FK1" s="957"/>
      <c r="FL1" s="981" t="s">
        <v>1817</v>
      </c>
      <c r="FM1" s="981"/>
      <c r="FN1" s="982" t="s">
        <v>816</v>
      </c>
      <c r="FO1" s="982"/>
      <c r="FP1" s="957" t="s">
        <v>1864</v>
      </c>
      <c r="FQ1" s="957"/>
      <c r="FR1" s="981" t="s">
        <v>1853</v>
      </c>
      <c r="FS1" s="981"/>
      <c r="FT1" s="982" t="s">
        <v>816</v>
      </c>
      <c r="FU1" s="982"/>
      <c r="FV1" s="957" t="s">
        <v>1864</v>
      </c>
      <c r="FW1" s="957"/>
      <c r="FX1" s="981" t="s">
        <v>1996</v>
      </c>
      <c r="FY1" s="981"/>
      <c r="FZ1" s="982" t="s">
        <v>816</v>
      </c>
      <c r="GA1" s="982"/>
      <c r="GB1" s="957" t="s">
        <v>1616</v>
      </c>
      <c r="GC1" s="957"/>
      <c r="GD1" s="981" t="s">
        <v>1997</v>
      </c>
      <c r="GE1" s="981"/>
      <c r="GF1" s="982" t="s">
        <v>816</v>
      </c>
      <c r="GG1" s="982"/>
      <c r="GH1" s="957" t="s">
        <v>1590</v>
      </c>
      <c r="GI1" s="957"/>
      <c r="GJ1" s="981" t="s">
        <v>2006</v>
      </c>
      <c r="GK1" s="981"/>
      <c r="GL1" s="982" t="s">
        <v>816</v>
      </c>
      <c r="GM1" s="982"/>
      <c r="GN1" s="957" t="s">
        <v>1590</v>
      </c>
      <c r="GO1" s="957"/>
      <c r="GP1" s="981" t="s">
        <v>2048</v>
      </c>
      <c r="GQ1" s="981"/>
      <c r="GR1" s="982" t="s">
        <v>816</v>
      </c>
      <c r="GS1" s="982"/>
      <c r="GT1" s="957" t="s">
        <v>1675</v>
      </c>
      <c r="GU1" s="957"/>
      <c r="GV1" s="981" t="s">
        <v>2082</v>
      </c>
      <c r="GW1" s="981"/>
      <c r="GX1" s="982" t="s">
        <v>816</v>
      </c>
      <c r="GY1" s="982"/>
      <c r="GZ1" s="957" t="s">
        <v>2121</v>
      </c>
      <c r="HA1" s="957"/>
      <c r="HB1" s="981" t="s">
        <v>2141</v>
      </c>
      <c r="HC1" s="981"/>
      <c r="HD1" s="982" t="s">
        <v>816</v>
      </c>
      <c r="HE1" s="982"/>
      <c r="HF1" s="957" t="s">
        <v>1715</v>
      </c>
      <c r="HG1" s="957"/>
      <c r="HH1" s="981" t="s">
        <v>2154</v>
      </c>
      <c r="HI1" s="981"/>
      <c r="HJ1" s="982" t="s">
        <v>816</v>
      </c>
      <c r="HK1" s="982"/>
      <c r="HL1" s="957" t="s">
        <v>1391</v>
      </c>
      <c r="HM1" s="957"/>
      <c r="HN1" s="981" t="s">
        <v>2200</v>
      </c>
      <c r="HO1" s="981"/>
      <c r="HP1" s="982" t="s">
        <v>816</v>
      </c>
      <c r="HQ1" s="982"/>
      <c r="HR1" s="957" t="s">
        <v>1391</v>
      </c>
      <c r="HS1" s="957"/>
      <c r="HT1" s="981" t="s">
        <v>2241</v>
      </c>
      <c r="HU1" s="981"/>
      <c r="HV1" s="982" t="s">
        <v>816</v>
      </c>
      <c r="HW1" s="982"/>
      <c r="HX1" s="957" t="s">
        <v>1616</v>
      </c>
      <c r="HY1" s="957"/>
      <c r="HZ1" s="981" t="s">
        <v>2297</v>
      </c>
      <c r="IA1" s="981"/>
      <c r="IB1" s="982" t="s">
        <v>816</v>
      </c>
      <c r="IC1" s="982"/>
      <c r="ID1" s="957" t="s">
        <v>1715</v>
      </c>
      <c r="IE1" s="957"/>
      <c r="IF1" s="981" t="s">
        <v>2363</v>
      </c>
      <c r="IG1" s="981"/>
      <c r="IH1" s="982" t="s">
        <v>816</v>
      </c>
      <c r="II1" s="982"/>
      <c r="IJ1" s="957" t="s">
        <v>1590</v>
      </c>
      <c r="IK1" s="957"/>
      <c r="IL1" s="981" t="s">
        <v>2436</v>
      </c>
      <c r="IM1" s="981"/>
      <c r="IN1" s="982" t="s">
        <v>816</v>
      </c>
      <c r="IO1" s="982"/>
      <c r="IP1" s="957" t="s">
        <v>1616</v>
      </c>
      <c r="IQ1" s="957"/>
      <c r="IR1" s="981" t="s">
        <v>2648</v>
      </c>
      <c r="IS1" s="981"/>
      <c r="IT1" s="982" t="s">
        <v>816</v>
      </c>
      <c r="IU1" s="982"/>
      <c r="IV1" s="957" t="s">
        <v>1748</v>
      </c>
      <c r="IW1" s="957"/>
      <c r="IX1" s="981" t="s">
        <v>2647</v>
      </c>
      <c r="IY1" s="981"/>
      <c r="IZ1" s="982" t="s">
        <v>816</v>
      </c>
      <c r="JA1" s="982"/>
      <c r="JB1" s="957" t="s">
        <v>1864</v>
      </c>
      <c r="JC1" s="957"/>
      <c r="JD1" s="981" t="s">
        <v>2691</v>
      </c>
      <c r="JE1" s="981"/>
      <c r="JF1" s="982" t="s">
        <v>816</v>
      </c>
      <c r="JG1" s="982"/>
      <c r="JH1" s="957" t="s">
        <v>1748</v>
      </c>
      <c r="JI1" s="957"/>
      <c r="JJ1" s="981" t="s">
        <v>2746</v>
      </c>
      <c r="JK1" s="981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2950</v>
      </c>
      <c r="KC1" s="860"/>
      <c r="KD1" s="850" t="s">
        <v>816</v>
      </c>
      <c r="KE1" s="850"/>
      <c r="KF1" s="848" t="s">
        <v>1748</v>
      </c>
      <c r="KG1" s="848"/>
      <c r="KH1" s="891" t="s">
        <v>3003</v>
      </c>
      <c r="KI1" s="891"/>
      <c r="KJ1" s="892" t="s">
        <v>816</v>
      </c>
      <c r="KK1" s="892"/>
      <c r="KL1" s="889" t="s">
        <v>1748</v>
      </c>
      <c r="KM1" s="889"/>
      <c r="KN1" s="891" t="s">
        <v>3013</v>
      </c>
      <c r="KO1" s="891"/>
      <c r="KP1" s="580"/>
    </row>
    <row r="2" spans="1:304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SUM(KC3:KC27)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6" t="s">
        <v>3117</v>
      </c>
      <c r="KI2" s="268">
        <f>KI4+KI3-SUM(KI5:KI6)</f>
        <v>80796.44</v>
      </c>
      <c r="KJ2" s="890" t="s">
        <v>295</v>
      </c>
      <c r="KK2" s="492">
        <f>SUM(KK4:KK28)</f>
        <v>14985.650000000001</v>
      </c>
      <c r="KL2" s="334" t="s">
        <v>296</v>
      </c>
      <c r="KM2" s="273">
        <f>KK2+KI4-KO4</f>
        <v>61067.990000000049</v>
      </c>
      <c r="KN2" s="929" t="s">
        <v>3117</v>
      </c>
      <c r="KO2" s="930">
        <f>SUM(KO3:KO4)-KO9</f>
        <v>44714.099999999977</v>
      </c>
      <c r="KP2" s="606"/>
    </row>
    <row r="3" spans="1:304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2959</v>
      </c>
      <c r="KC3" s="268">
        <v>-71000</v>
      </c>
      <c r="KE3" s="492"/>
      <c r="KF3" s="849" t="s">
        <v>2393</v>
      </c>
      <c r="KG3" s="273">
        <f>KG2-KE30-KE29</f>
        <v>3005.0550000000767</v>
      </c>
      <c r="KH3" s="906" t="s">
        <v>3021</v>
      </c>
      <c r="KI3" s="268">
        <v>-100000</v>
      </c>
      <c r="KK3" s="492"/>
      <c r="KL3" s="890" t="s">
        <v>2393</v>
      </c>
      <c r="KM3" s="273">
        <f>KM2-KK40-KK39</f>
        <v>5580.3170000000446</v>
      </c>
      <c r="KN3" s="890" t="s">
        <v>3022</v>
      </c>
      <c r="KO3" s="268">
        <v>-50000</v>
      </c>
      <c r="KP3" s="606"/>
    </row>
    <row r="4" spans="1:304" ht="12.75" customHeight="1" thickBot="1">
      <c r="A4" s="941" t="s">
        <v>991</v>
      </c>
      <c r="B4" s="941"/>
      <c r="E4" s="170" t="s">
        <v>233</v>
      </c>
      <c r="F4" s="174">
        <f>F3-F5</f>
        <v>17</v>
      </c>
      <c r="G4" s="941" t="s">
        <v>991</v>
      </c>
      <c r="H4" s="94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2955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2960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H4" s="929" t="s">
        <v>3118</v>
      </c>
      <c r="KI4" s="363">
        <f>SUM(KI5:KI36)</f>
        <v>337796.44</v>
      </c>
      <c r="KJ4" s="890" t="s">
        <v>633</v>
      </c>
      <c r="KK4" s="541">
        <v>17211.3</v>
      </c>
      <c r="KL4" s="890" t="s">
        <v>1203</v>
      </c>
      <c r="KM4" s="286">
        <f>KM2-KM5</f>
        <v>-1.1099999999642023</v>
      </c>
      <c r="KN4" s="929" t="s">
        <v>3129</v>
      </c>
      <c r="KO4" s="363">
        <f>SUM(KO9:KO37)</f>
        <v>291714.09999999998</v>
      </c>
      <c r="KP4" s="606"/>
      <c r="KQ4" s="905"/>
    </row>
    <row r="5" spans="1:304">
      <c r="A5" s="941"/>
      <c r="B5" s="941"/>
      <c r="E5" s="170" t="s">
        <v>352</v>
      </c>
      <c r="F5" s="174">
        <f>SUM(F15:F58)</f>
        <v>12750</v>
      </c>
      <c r="G5" s="941"/>
      <c r="H5" s="941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3045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3046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2961</v>
      </c>
      <c r="KC5" s="268">
        <f>-135000</f>
        <v>-135000</v>
      </c>
      <c r="KD5" s="849" t="s">
        <v>2963</v>
      </c>
      <c r="KE5" s="541">
        <v>-107.13</v>
      </c>
      <c r="KF5" s="849" t="s">
        <v>352</v>
      </c>
      <c r="KG5" s="273">
        <f>SUM(KG6:KG48)</f>
        <v>207950.29100000003</v>
      </c>
      <c r="KH5" s="205" t="s">
        <v>2975</v>
      </c>
      <c r="KI5" s="442">
        <v>7000</v>
      </c>
      <c r="KJ5" s="890" t="s">
        <v>2650</v>
      </c>
      <c r="KK5" s="541">
        <v>-132.12</v>
      </c>
      <c r="KL5" s="890" t="s">
        <v>352</v>
      </c>
      <c r="KM5" s="273">
        <f>SUM(KM6:KM59)</f>
        <v>61069.100000000013</v>
      </c>
      <c r="KN5" s="934">
        <v>7000</v>
      </c>
      <c r="KO5" s="935">
        <v>45342</v>
      </c>
      <c r="KP5" s="606"/>
      <c r="KQ5" s="905"/>
    </row>
    <row r="6" spans="1:304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2919</v>
      </c>
      <c r="JQ6" s="442"/>
      <c r="JR6" s="757" t="s">
        <v>2650</v>
      </c>
      <c r="JS6" s="541" t="s">
        <v>2811</v>
      </c>
      <c r="JT6" s="815" t="s">
        <v>2904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2895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205" t="s">
        <v>2991</v>
      </c>
      <c r="KI6" s="442">
        <v>150000</v>
      </c>
      <c r="KJ6" s="890" t="s">
        <v>3026</v>
      </c>
      <c r="KK6" s="492">
        <v>-5.01</v>
      </c>
      <c r="KL6" s="925" t="s">
        <v>1002</v>
      </c>
      <c r="KM6" s="917">
        <v>1900.1</v>
      </c>
      <c r="KN6" s="936">
        <v>150000</v>
      </c>
      <c r="KO6" s="937">
        <v>45356</v>
      </c>
      <c r="KQ6" s="268"/>
    </row>
    <row r="7" spans="1:304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2973</v>
      </c>
      <c r="KE7" s="903">
        <f>ABS(KC3+KC4)</f>
        <v>211000</v>
      </c>
      <c r="KF7" s="346" t="s">
        <v>2981</v>
      </c>
      <c r="KG7" s="849">
        <v>10.25</v>
      </c>
      <c r="KH7" s="905" t="s">
        <v>3018</v>
      </c>
      <c r="KI7" s="268">
        <v>-70600</v>
      </c>
      <c r="KJ7" s="918" t="s">
        <v>3113</v>
      </c>
      <c r="KK7" s="492">
        <v>-1800</v>
      </c>
      <c r="KL7" s="926" t="s">
        <v>3109</v>
      </c>
      <c r="KM7" s="61">
        <v>0</v>
      </c>
      <c r="KN7" s="936">
        <v>20000</v>
      </c>
      <c r="KO7" s="937">
        <v>45370</v>
      </c>
      <c r="KQ7" s="913"/>
    </row>
    <row r="8" spans="1:304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2932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2972</v>
      </c>
      <c r="KE8" s="494"/>
      <c r="KF8" s="245" t="s">
        <v>2978</v>
      </c>
      <c r="KG8" s="442">
        <v>2000</v>
      </c>
      <c r="KH8" s="890" t="s">
        <v>3019</v>
      </c>
      <c r="KI8" s="268">
        <f>-135000</f>
        <v>-135000</v>
      </c>
      <c r="KJ8" s="909" t="s">
        <v>3112</v>
      </c>
      <c r="KK8" s="492">
        <v>-1800.01</v>
      </c>
      <c r="KL8" s="346" t="s">
        <v>3047</v>
      </c>
      <c r="KM8" s="890">
        <v>1112.4000000000001</v>
      </c>
      <c r="KN8" s="936">
        <v>20000</v>
      </c>
      <c r="KO8" s="937">
        <v>45384</v>
      </c>
    </row>
    <row r="9" spans="1:304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3047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2951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245" t="s">
        <v>2954</v>
      </c>
      <c r="KG9" s="492">
        <v>64875.360000000001</v>
      </c>
      <c r="KH9" s="905" t="s">
        <v>3015</v>
      </c>
      <c r="KI9" s="492">
        <v>4053</v>
      </c>
      <c r="KJ9" s="908" t="s">
        <v>3066</v>
      </c>
      <c r="KK9" s="725">
        <v>1.77</v>
      </c>
      <c r="KL9" s="346" t="s">
        <v>3074</v>
      </c>
      <c r="KM9" s="61">
        <v>9.4499999999999993</v>
      </c>
      <c r="KN9" s="790" t="s">
        <v>3123</v>
      </c>
      <c r="KO9" s="940">
        <f>SUM(KN5:KN8)</f>
        <v>197000</v>
      </c>
      <c r="KQ9" s="442"/>
    </row>
    <row r="10" spans="1:304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2934</v>
      </c>
      <c r="JY10" s="514"/>
      <c r="JZ10" s="389" t="s">
        <v>2962</v>
      </c>
      <c r="KA10" s="61">
        <v>5.99</v>
      </c>
      <c r="KB10" s="205" t="s">
        <v>2926</v>
      </c>
      <c r="KC10" s="359">
        <v>-166</v>
      </c>
      <c r="KD10" s="849" t="s">
        <v>2934</v>
      </c>
      <c r="KE10" s="514"/>
      <c r="KF10" s="245" t="s">
        <v>2953</v>
      </c>
      <c r="KG10" s="492">
        <f>136363-KG12</f>
        <v>136169.60999999999</v>
      </c>
      <c r="KH10" s="907" t="s">
        <v>3024</v>
      </c>
      <c r="KI10" s="492"/>
      <c r="KJ10" s="912"/>
      <c r="KK10" s="492"/>
      <c r="KL10" s="346" t="s">
        <v>3065</v>
      </c>
      <c r="KM10" s="890">
        <v>79.72</v>
      </c>
      <c r="KN10" s="933" t="s">
        <v>3018</v>
      </c>
      <c r="KO10" s="268">
        <v>-70600</v>
      </c>
      <c r="KP10" s="606"/>
      <c r="KQ10" s="268"/>
    </row>
    <row r="11" spans="1:304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2922</v>
      </c>
      <c r="JY11" s="725">
        <f>55.87+0.96</f>
        <v>56.83</v>
      </c>
      <c r="JZ11" s="346" t="s">
        <v>2913</v>
      </c>
      <c r="KA11" s="796">
        <v>29.9</v>
      </c>
      <c r="KB11" s="856" t="s">
        <v>1630</v>
      </c>
      <c r="KC11" s="442">
        <v>-217</v>
      </c>
      <c r="KD11" s="865" t="s">
        <v>2957</v>
      </c>
      <c r="KE11" s="493">
        <f>1.5%*519+1.82</f>
        <v>9.6050000000000004</v>
      </c>
      <c r="KF11" s="345" t="s">
        <v>3016</v>
      </c>
      <c r="KG11" s="492">
        <v>281.16000000000003</v>
      </c>
      <c r="KH11" s="896" t="s">
        <v>2664</v>
      </c>
      <c r="KI11" s="442">
        <v>-82000</v>
      </c>
      <c r="KJ11" s="890" t="s">
        <v>2934</v>
      </c>
      <c r="KK11" s="514"/>
      <c r="KL11" s="263" t="s">
        <v>3079</v>
      </c>
      <c r="KM11" s="890">
        <v>82.58</v>
      </c>
      <c r="KN11" s="905" t="s">
        <v>3128</v>
      </c>
      <c r="KO11" s="268">
        <v>-127017</v>
      </c>
      <c r="KP11" s="606"/>
    </row>
    <row r="12" spans="1:304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3048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3005</v>
      </c>
      <c r="KE12" s="725">
        <v>46</v>
      </c>
      <c r="KF12" s="345" t="s">
        <v>3084</v>
      </c>
      <c r="KG12" s="492">
        <v>193.39</v>
      </c>
      <c r="KH12" s="897" t="s">
        <v>2663</v>
      </c>
      <c r="KI12" s="268">
        <v>-4000</v>
      </c>
      <c r="KJ12" s="890" t="s">
        <v>2957</v>
      </c>
      <c r="KK12" s="493"/>
      <c r="KL12" s="263" t="s">
        <v>3085</v>
      </c>
      <c r="KM12" s="890">
        <v>102.97</v>
      </c>
      <c r="KN12" s="2">
        <f>SUM(KI8:KI9)+180+3750</f>
        <v>-127017</v>
      </c>
      <c r="KO12" s="268" t="s">
        <v>3100</v>
      </c>
      <c r="KP12" s="606"/>
    </row>
    <row r="13" spans="1:304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2875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2876</v>
      </c>
      <c r="JM13" s="726">
        <v>5.9</v>
      </c>
      <c r="JN13" s="245" t="s">
        <v>3017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2900</v>
      </c>
      <c r="JY13" s="726">
        <v>7.95</v>
      </c>
      <c r="JZ13" s="346" t="s">
        <v>2890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2543</v>
      </c>
      <c r="KG13" s="61">
        <v>74.64</v>
      </c>
      <c r="KH13" s="893" t="s">
        <v>2958</v>
      </c>
      <c r="KI13" s="442">
        <v>366011</v>
      </c>
      <c r="KJ13" s="890" t="s">
        <v>2946</v>
      </c>
      <c r="KK13" s="725">
        <f>73.33+0.96</f>
        <v>74.289999999999992</v>
      </c>
      <c r="KL13" s="263" t="s">
        <v>3091</v>
      </c>
      <c r="KM13" s="917">
        <v>165.2</v>
      </c>
      <c r="KN13" s="896" t="s">
        <v>3124</v>
      </c>
      <c r="KO13" s="442">
        <v>-82000</v>
      </c>
      <c r="KP13" s="933"/>
    </row>
    <row r="14" spans="1:304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51" t="s">
        <v>2185</v>
      </c>
      <c r="HK14" s="95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2877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2914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2917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2900</v>
      </c>
      <c r="KE14" s="726"/>
      <c r="KF14" s="345" t="s">
        <v>2611</v>
      </c>
      <c r="KG14" s="534">
        <v>131.87</v>
      </c>
      <c r="KH14" s="897" t="s">
        <v>3027</v>
      </c>
      <c r="KI14" s="268">
        <v>100032</v>
      </c>
      <c r="KJ14" s="890" t="s">
        <v>1799</v>
      </c>
      <c r="KK14" s="725"/>
      <c r="KL14" s="263" t="s">
        <v>3091</v>
      </c>
      <c r="KM14" s="890">
        <v>34.200000000000003</v>
      </c>
      <c r="KN14" s="897" t="s">
        <v>2663</v>
      </c>
      <c r="KO14" s="268">
        <v>-4000</v>
      </c>
    </row>
    <row r="15" spans="1:304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85" t="s">
        <v>1504</v>
      </c>
      <c r="DP15" s="98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3027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3028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3049</v>
      </c>
      <c r="JW15" s="268">
        <v>2151</v>
      </c>
      <c r="JX15" s="9"/>
      <c r="JY15" s="726"/>
      <c r="JZ15" s="346" t="s">
        <v>2891</v>
      </c>
      <c r="KA15" s="828">
        <v>10</v>
      </c>
      <c r="KB15" s="857" t="s">
        <v>3027</v>
      </c>
      <c r="KC15" s="268">
        <v>100491</v>
      </c>
      <c r="KD15" s="1003" t="s">
        <v>2947</v>
      </c>
      <c r="KE15" s="1003"/>
      <c r="KF15" s="345" t="s">
        <v>1195</v>
      </c>
      <c r="KG15" s="61">
        <f>10+6.5+15</f>
        <v>31.5</v>
      </c>
      <c r="KH15" s="895" t="s">
        <v>2993</v>
      </c>
      <c r="KI15" s="605"/>
      <c r="KJ15" s="9" t="s">
        <v>2900</v>
      </c>
      <c r="KK15" s="726"/>
      <c r="KL15" s="263" t="s">
        <v>1557</v>
      </c>
      <c r="KM15" s="890">
        <v>47.8</v>
      </c>
      <c r="KN15" s="893" t="s">
        <v>2958</v>
      </c>
      <c r="KO15" s="442">
        <v>199006</v>
      </c>
      <c r="KP15" s="606">
        <v>45199</v>
      </c>
      <c r="KQ15" s="442"/>
      <c r="KR15" s="442"/>
    </row>
    <row r="16" spans="1:304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3036</v>
      </c>
      <c r="JM16" s="61">
        <f>25.72</f>
        <v>25.72</v>
      </c>
      <c r="JN16" s="345" t="s">
        <v>2693</v>
      </c>
      <c r="JO16" s="61">
        <v>23.96</v>
      </c>
      <c r="JP16" s="718" t="s">
        <v>3049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2933</v>
      </c>
      <c r="JY16" s="726"/>
      <c r="JZ16" s="346" t="s">
        <v>2901</v>
      </c>
      <c r="KA16" s="834">
        <f>6.8+7.8</f>
        <v>14.6</v>
      </c>
      <c r="KB16" s="254" t="s">
        <v>2897</v>
      </c>
      <c r="KC16" s="605"/>
      <c r="KD16" s="899"/>
      <c r="KE16" s="899"/>
      <c r="KF16" s="345" t="s">
        <v>2782</v>
      </c>
      <c r="KG16" s="61">
        <f>14.32+18</f>
        <v>32.32</v>
      </c>
      <c r="KH16" s="320" t="s">
        <v>2992</v>
      </c>
      <c r="KI16" s="403">
        <v>30</v>
      </c>
      <c r="KJ16" s="1003" t="s">
        <v>2947</v>
      </c>
      <c r="KK16" s="1003"/>
      <c r="KL16" s="263" t="s">
        <v>2475</v>
      </c>
      <c r="KM16" s="890">
        <v>40.590000000000003</v>
      </c>
      <c r="KN16" s="897" t="s">
        <v>3027</v>
      </c>
      <c r="KO16" s="268">
        <v>100809</v>
      </c>
      <c r="KP16" s="606">
        <v>45198</v>
      </c>
      <c r="KQ16" s="885"/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3027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3037</v>
      </c>
      <c r="JM17" s="61">
        <f>180.39+64.94+57.72</f>
        <v>303.04999999999995</v>
      </c>
      <c r="JN17" s="345" t="s">
        <v>3050</v>
      </c>
      <c r="JO17" s="61">
        <v>30</v>
      </c>
      <c r="JP17" s="254" t="s">
        <v>2776</v>
      </c>
      <c r="JQ17" s="605"/>
      <c r="JR17" s="779" t="s">
        <v>3028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2889</v>
      </c>
      <c r="JY17" s="726">
        <f>1.29+1.15</f>
        <v>2.44</v>
      </c>
      <c r="JZ17" s="346" t="s">
        <v>2893</v>
      </c>
      <c r="KA17" s="796">
        <f>73.44/2</f>
        <v>36.72</v>
      </c>
      <c r="KB17" s="857" t="s">
        <v>2777</v>
      </c>
      <c r="KC17" s="268">
        <v>0</v>
      </c>
      <c r="KD17" s="849" t="s">
        <v>2933</v>
      </c>
      <c r="KE17" s="726"/>
      <c r="KF17" s="345" t="s">
        <v>3051</v>
      </c>
      <c r="KG17" s="61">
        <v>180</v>
      </c>
      <c r="KH17" s="205" t="s">
        <v>2994</v>
      </c>
      <c r="KI17" s="359">
        <f>686-1000</f>
        <v>-314</v>
      </c>
      <c r="KJ17" s="9"/>
      <c r="KK17" s="726"/>
      <c r="KL17" s="333" t="s">
        <v>1835</v>
      </c>
      <c r="KM17" s="644">
        <v>1000</v>
      </c>
      <c r="KN17" s="931" t="s">
        <v>3122</v>
      </c>
      <c r="KO17" s="268">
        <v>129000</v>
      </c>
      <c r="KP17" s="606">
        <v>45199</v>
      </c>
      <c r="KQ17" s="885"/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3027</v>
      </c>
      <c r="IO18">
        <v>3</v>
      </c>
      <c r="IP18" s="345" t="s">
        <v>2457</v>
      </c>
      <c r="IQ18" s="61">
        <v>42.65</v>
      </c>
      <c r="IR18" s="66" t="s">
        <v>3027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3056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3035</v>
      </c>
      <c r="JE18" s="605">
        <v>3083</v>
      </c>
      <c r="JF18" s="401"/>
      <c r="JG18" s="510"/>
      <c r="JH18" s="345" t="s">
        <v>3030</v>
      </c>
      <c r="JI18" s="61">
        <v>30</v>
      </c>
      <c r="JJ18" s="666" t="s">
        <v>3035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3036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2874</v>
      </c>
      <c r="JY18" s="726">
        <f>65.16+2.55</f>
        <v>67.709999999999994</v>
      </c>
      <c r="JZ18" s="346" t="s">
        <v>2937</v>
      </c>
      <c r="KA18" s="61">
        <v>5.01</v>
      </c>
      <c r="KB18" s="857" t="s">
        <v>2675</v>
      </c>
      <c r="KC18" s="268">
        <v>14</v>
      </c>
      <c r="KD18" s="9" t="s">
        <v>2874</v>
      </c>
      <c r="KE18" s="726">
        <v>92.26</v>
      </c>
      <c r="KF18" s="345" t="s">
        <v>2833</v>
      </c>
      <c r="KG18" s="203">
        <v>10.8</v>
      </c>
      <c r="KH18" s="205" t="s">
        <v>3007</v>
      </c>
      <c r="KI18" s="359"/>
      <c r="KJ18" s="890" t="s">
        <v>2933</v>
      </c>
      <c r="KK18" s="726"/>
      <c r="KL18" s="245" t="s">
        <v>3061</v>
      </c>
      <c r="KM18" s="492">
        <v>50065.8</v>
      </c>
      <c r="KN18" s="895" t="s">
        <v>2993</v>
      </c>
      <c r="KO18" s="605"/>
      <c r="KP18" s="606"/>
      <c r="KQ18" s="268"/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85" t="s">
        <v>1474</v>
      </c>
      <c r="DJ19" s="98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3034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3037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2935</v>
      </c>
      <c r="JY19" s="726">
        <v>24.55</v>
      </c>
      <c r="JZ19" s="346" t="s">
        <v>2938</v>
      </c>
      <c r="KA19" s="796">
        <v>10.87</v>
      </c>
      <c r="KB19" s="856" t="s">
        <v>2671</v>
      </c>
      <c r="KC19" s="2">
        <v>220</v>
      </c>
      <c r="KD19" s="9" t="s">
        <v>2936</v>
      </c>
      <c r="KE19" s="726">
        <v>31.03</v>
      </c>
      <c r="KF19" s="345" t="s">
        <v>2362</v>
      </c>
      <c r="KG19" s="61">
        <f>14.89+17.36+13.36+15.59+10+15.78+15.59</f>
        <v>102.57000000000001</v>
      </c>
      <c r="KH19" s="896" t="s">
        <v>1094</v>
      </c>
      <c r="KI19" s="442">
        <v>-1680</v>
      </c>
      <c r="KJ19" s="9" t="s">
        <v>3101</v>
      </c>
      <c r="KK19" s="726">
        <f>7.87+11.3</f>
        <v>19.170000000000002</v>
      </c>
      <c r="KL19" s="245" t="s">
        <v>3014</v>
      </c>
      <c r="KM19" s="492">
        <f>KM22*9</f>
        <v>1272.2760000000001</v>
      </c>
      <c r="KN19" s="320" t="s">
        <v>3125</v>
      </c>
      <c r="KO19" s="403">
        <v>-114.8</v>
      </c>
      <c r="KP19" s="606"/>
      <c r="KQ19" s="268"/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3027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3059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2924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3039</v>
      </c>
      <c r="KE20" s="726" t="s">
        <v>3006</v>
      </c>
      <c r="KF20" s="337" t="s">
        <v>2990</v>
      </c>
      <c r="KG20" s="61">
        <v>10</v>
      </c>
      <c r="KH20" s="205" t="s">
        <v>2997</v>
      </c>
      <c r="KI20" s="890">
        <f>KH21-0.99*195000</f>
        <v>-242</v>
      </c>
      <c r="KJ20" s="9" t="s">
        <v>2502</v>
      </c>
      <c r="KK20" s="726">
        <v>7.97</v>
      </c>
      <c r="KL20" s="511" t="s">
        <v>3093</v>
      </c>
      <c r="KM20" s="492">
        <f>KM21*9</f>
        <v>1249.4970000000001</v>
      </c>
      <c r="KN20" s="896" t="s">
        <v>3126</v>
      </c>
      <c r="KO20" s="442">
        <v>-235</v>
      </c>
      <c r="KP20" s="606">
        <v>45196</v>
      </c>
      <c r="KQ20" s="517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3040</v>
      </c>
      <c r="JY21" s="726">
        <v>13.23</v>
      </c>
      <c r="JZ21" s="245" t="s">
        <v>2949</v>
      </c>
      <c r="KA21" s="492">
        <v>1322.98</v>
      </c>
      <c r="KB21" s="858" t="s">
        <v>2447</v>
      </c>
      <c r="KC21" s="2">
        <v>1000</v>
      </c>
      <c r="KD21" s="862" t="s">
        <v>3041</v>
      </c>
      <c r="KE21" s="510">
        <f>63.91+71.9+199.73+2.07</f>
        <v>337.60999999999996</v>
      </c>
      <c r="KF21" s="337" t="s">
        <v>3002</v>
      </c>
      <c r="KG21" s="61">
        <v>108.001</v>
      </c>
      <c r="KH21" s="885">
        <v>192808</v>
      </c>
      <c r="KI21" s="894"/>
      <c r="KJ21" s="9" t="s">
        <v>3062</v>
      </c>
      <c r="KK21" s="726">
        <v>12.01</v>
      </c>
      <c r="KL21" s="927" t="s">
        <v>3099</v>
      </c>
      <c r="KM21" s="505">
        <f>1388.33/10</f>
        <v>138.833</v>
      </c>
      <c r="KN21" s="205" t="s">
        <v>3012</v>
      </c>
      <c r="KO21" s="2">
        <f>KN22-0.99*195000</f>
        <v>-55895</v>
      </c>
      <c r="KP21" s="108"/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1001" t="s">
        <v>507</v>
      </c>
      <c r="N22" s="1001"/>
      <c r="Q22" s="166" t="s">
        <v>365</v>
      </c>
      <c r="S22" s="1001" t="s">
        <v>507</v>
      </c>
      <c r="T22" s="100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8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3027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3052</v>
      </c>
      <c r="II22">
        <f>9.86*4</f>
        <v>39.44</v>
      </c>
      <c r="IJ22" s="345" t="s">
        <v>2249</v>
      </c>
      <c r="IK22">
        <v>64</v>
      </c>
      <c r="IL22" s="66" t="s">
        <v>3034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42" t="s">
        <v>2170</v>
      </c>
      <c r="IU22" s="942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3053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3042</v>
      </c>
      <c r="JY22" s="726">
        <v>31.96</v>
      </c>
      <c r="JZ22" s="245" t="s">
        <v>2939</v>
      </c>
      <c r="KA22" s="492">
        <v>1730.87</v>
      </c>
      <c r="KB22" s="855" t="s">
        <v>2465</v>
      </c>
      <c r="KC22" s="61"/>
      <c r="KD22" s="870" t="s">
        <v>2999</v>
      </c>
      <c r="KE22" s="510">
        <f>7000*(1-98.14%)</f>
        <v>130.19999999999965</v>
      </c>
      <c r="KF22" s="337" t="s">
        <v>2976</v>
      </c>
      <c r="KG22" s="849">
        <v>135.69999999999999</v>
      </c>
      <c r="KH22" s="893" t="s">
        <v>2772</v>
      </c>
      <c r="KI22" s="268">
        <v>2600</v>
      </c>
      <c r="KJ22" s="896" t="s">
        <v>3037</v>
      </c>
      <c r="KK22" s="726">
        <f>135.77+48.88+27.16</f>
        <v>211.81</v>
      </c>
      <c r="KL22" s="143" t="s">
        <v>3094</v>
      </c>
      <c r="KM22" s="505">
        <f>1413.64/10</f>
        <v>141.364</v>
      </c>
      <c r="KN22" s="885">
        <v>137155</v>
      </c>
      <c r="KO22" s="894"/>
      <c r="KP22" s="606">
        <v>45196</v>
      </c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96" t="s">
        <v>990</v>
      </c>
      <c r="N23" s="996"/>
      <c r="Q23" s="166" t="s">
        <v>369</v>
      </c>
      <c r="S23" s="996" t="s">
        <v>990</v>
      </c>
      <c r="T23" s="996"/>
      <c r="W23" s="244" t="s">
        <v>1019</v>
      </c>
      <c r="X23" s="142">
        <v>0</v>
      </c>
      <c r="Y23" s="1001" t="s">
        <v>507</v>
      </c>
      <c r="Z23" s="100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8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42" t="s">
        <v>2170</v>
      </c>
      <c r="HK23" s="942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42" t="s">
        <v>2170</v>
      </c>
      <c r="HW23" s="942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3033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3043</v>
      </c>
      <c r="JY23" s="726">
        <f>85.99+30.96</f>
        <v>116.94999999999999</v>
      </c>
      <c r="JZ23" s="245" t="s">
        <v>2925</v>
      </c>
      <c r="KA23" s="492">
        <v>1713.69</v>
      </c>
      <c r="KB23" s="855" t="s">
        <v>2472</v>
      </c>
      <c r="KC23" s="61"/>
      <c r="KD23" s="886" t="s">
        <v>3000</v>
      </c>
      <c r="KE23" s="849">
        <f>1660.5+1107</f>
        <v>2767.5</v>
      </c>
      <c r="KF23" s="337" t="s">
        <v>3029</v>
      </c>
      <c r="KG23" s="533">
        <v>10</v>
      </c>
      <c r="KH23" s="897" t="s">
        <v>2773</v>
      </c>
      <c r="KI23" s="268">
        <v>1</v>
      </c>
      <c r="KJ23" s="9" t="s">
        <v>3038</v>
      </c>
      <c r="KK23" s="726">
        <v>20.67</v>
      </c>
      <c r="KL23" s="143" t="s">
        <v>3115</v>
      </c>
      <c r="KM23" s="321">
        <v>198.07</v>
      </c>
      <c r="KN23" s="893" t="s">
        <v>2772</v>
      </c>
      <c r="KO23" s="268">
        <v>2600</v>
      </c>
      <c r="KP23" s="606"/>
    </row>
    <row r="24" spans="1:303">
      <c r="A24" s="1001" t="s">
        <v>507</v>
      </c>
      <c r="B24" s="1001"/>
      <c r="E24" s="164" t="s">
        <v>237</v>
      </c>
      <c r="F24" s="166"/>
      <c r="G24" s="1001" t="s">
        <v>507</v>
      </c>
      <c r="H24" s="1001"/>
      <c r="K24" s="244" t="s">
        <v>1019</v>
      </c>
      <c r="L24" s="142">
        <v>0</v>
      </c>
      <c r="M24" s="964"/>
      <c r="N24" s="964"/>
      <c r="Q24" s="166" t="s">
        <v>1056</v>
      </c>
      <c r="S24" s="964"/>
      <c r="T24" s="964"/>
      <c r="W24" s="244" t="s">
        <v>1027</v>
      </c>
      <c r="X24" s="205">
        <v>0</v>
      </c>
      <c r="Y24" s="996" t="s">
        <v>990</v>
      </c>
      <c r="Z24" s="996"/>
      <c r="AC24"/>
      <c r="AE24" s="1001" t="s">
        <v>507</v>
      </c>
      <c r="AF24" s="1001"/>
      <c r="AI24"/>
      <c r="AK24" s="1001" t="s">
        <v>507</v>
      </c>
      <c r="AL24" s="100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87" t="s">
        <v>1536</v>
      </c>
      <c r="EF24" s="98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8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8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2883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2918</v>
      </c>
      <c r="KC24" s="61">
        <v>1.64</v>
      </c>
      <c r="KD24" s="849" t="e">
        <f>#REF!*(1-0.98155)</f>
        <v>#REF!</v>
      </c>
      <c r="KE24" s="849" t="s">
        <v>3001</v>
      </c>
      <c r="KF24" s="337" t="s">
        <v>2964</v>
      </c>
      <c r="KG24" s="533">
        <v>38</v>
      </c>
      <c r="KH24" s="897" t="s">
        <v>2774</v>
      </c>
      <c r="KI24" s="517">
        <v>408</v>
      </c>
      <c r="KJ24" s="9" t="s">
        <v>3010</v>
      </c>
      <c r="KK24" s="510">
        <v>380.32</v>
      </c>
      <c r="KL24" s="143" t="s">
        <v>2543</v>
      </c>
      <c r="KM24" s="61">
        <v>81.91</v>
      </c>
      <c r="KN24" s="897" t="s">
        <v>2773</v>
      </c>
      <c r="KO24" s="268">
        <v>520</v>
      </c>
      <c r="KP24" s="607">
        <v>45198</v>
      </c>
    </row>
    <row r="25" spans="1:303">
      <c r="A25" s="996" t="s">
        <v>990</v>
      </c>
      <c r="B25" s="996"/>
      <c r="E25" s="164" t="s">
        <v>139</v>
      </c>
      <c r="F25" s="166"/>
      <c r="G25" s="996" t="s">
        <v>990</v>
      </c>
      <c r="H25" s="996"/>
      <c r="K25" s="244" t="s">
        <v>1027</v>
      </c>
      <c r="L25" s="205">
        <v>0</v>
      </c>
      <c r="M25" s="964"/>
      <c r="N25" s="964"/>
      <c r="Q25" s="244" t="s">
        <v>1029</v>
      </c>
      <c r="R25" s="142">
        <v>0</v>
      </c>
      <c r="S25" s="964"/>
      <c r="T25" s="964"/>
      <c r="W25" s="244" t="s">
        <v>1050</v>
      </c>
      <c r="X25" s="142">
        <v>910.17</v>
      </c>
      <c r="Y25" s="964"/>
      <c r="Z25" s="964"/>
      <c r="AC25" s="248" t="s">
        <v>1083</v>
      </c>
      <c r="AD25" s="142">
        <v>90</v>
      </c>
      <c r="AE25" s="996" t="s">
        <v>990</v>
      </c>
      <c r="AF25" s="996"/>
      <c r="AI25" s="245" t="s">
        <v>1101</v>
      </c>
      <c r="AJ25" s="142">
        <v>30</v>
      </c>
      <c r="AK25" s="996" t="s">
        <v>990</v>
      </c>
      <c r="AL25" s="99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96"/>
      <c r="BH25" s="996"/>
      <c r="BK25" s="266" t="s">
        <v>1222</v>
      </c>
      <c r="BL25" s="205">
        <v>48.54</v>
      </c>
      <c r="BM25" s="996"/>
      <c r="BN25" s="996"/>
      <c r="BQ25" s="266" t="s">
        <v>1051</v>
      </c>
      <c r="BR25" s="205">
        <v>50.15</v>
      </c>
      <c r="BS25" s="996" t="s">
        <v>1245</v>
      </c>
      <c r="BT25" s="996"/>
      <c r="BW25" s="266" t="s">
        <v>1051</v>
      </c>
      <c r="BX25" s="205">
        <v>48.54</v>
      </c>
      <c r="BY25" s="996"/>
      <c r="BZ25" s="996"/>
      <c r="CC25" s="266" t="s">
        <v>1051</v>
      </c>
      <c r="CD25" s="205">
        <v>142.91</v>
      </c>
      <c r="CE25" s="996"/>
      <c r="CF25" s="996"/>
      <c r="CI25" s="266" t="s">
        <v>1312</v>
      </c>
      <c r="CJ25" s="205">
        <v>35.049999999999997</v>
      </c>
      <c r="CK25" s="964"/>
      <c r="CL25" s="964"/>
      <c r="CO25" s="266" t="s">
        <v>1286</v>
      </c>
      <c r="CP25" s="205">
        <v>153.41</v>
      </c>
      <c r="CQ25" s="964" t="s">
        <v>1327</v>
      </c>
      <c r="CR25" s="96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8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42" t="s">
        <v>2170</v>
      </c>
      <c r="IC25" s="942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2884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2923</v>
      </c>
      <c r="KA25" s="61">
        <v>219</v>
      </c>
      <c r="KB25" s="855"/>
      <c r="KC25" s="61"/>
      <c r="KD25" s="904"/>
      <c r="KE25" s="904"/>
      <c r="KF25" s="337" t="s">
        <v>2968</v>
      </c>
      <c r="KG25" s="533">
        <v>25.9</v>
      </c>
      <c r="KH25" s="897" t="s">
        <v>2777</v>
      </c>
      <c r="KI25" s="268" t="s">
        <v>2129</v>
      </c>
      <c r="KJ25" s="9" t="s">
        <v>3009</v>
      </c>
      <c r="KK25" s="510">
        <v>5.68</v>
      </c>
      <c r="KL25" s="143" t="s">
        <v>2985</v>
      </c>
      <c r="KM25" s="61" t="s">
        <v>3088</v>
      </c>
      <c r="KN25" s="897" t="s">
        <v>2774</v>
      </c>
      <c r="KO25" s="517">
        <v>1334</v>
      </c>
      <c r="KP25" s="607">
        <v>45198</v>
      </c>
    </row>
    <row r="26" spans="1:303">
      <c r="A26" s="964"/>
      <c r="B26" s="964"/>
      <c r="E26" s="198" t="s">
        <v>362</v>
      </c>
      <c r="F26" s="170"/>
      <c r="G26" s="964"/>
      <c r="H26" s="964"/>
      <c r="K26" s="244" t="s">
        <v>1018</v>
      </c>
      <c r="L26" s="142">
        <f>910+40</f>
        <v>950</v>
      </c>
      <c r="M26" s="964"/>
      <c r="N26" s="964"/>
      <c r="Q26" s="244" t="s">
        <v>1026</v>
      </c>
      <c r="R26" s="142">
        <v>0</v>
      </c>
      <c r="S26" s="964"/>
      <c r="T26" s="964"/>
      <c r="W26" s="143" t="s">
        <v>1085</v>
      </c>
      <c r="X26" s="142">
        <v>110.58</v>
      </c>
      <c r="Y26" s="964"/>
      <c r="Z26" s="964"/>
      <c r="AE26" s="964"/>
      <c r="AF26" s="964"/>
      <c r="AK26" s="964"/>
      <c r="AL26" s="96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64"/>
      <c r="AX26" s="964"/>
      <c r="AY26" s="143"/>
      <c r="AZ26" s="205"/>
      <c r="BA26" s="964"/>
      <c r="BB26" s="964"/>
      <c r="BE26" s="143" t="s">
        <v>1195</v>
      </c>
      <c r="BF26" s="205">
        <f>6.5*2</f>
        <v>13</v>
      </c>
      <c r="BG26" s="964"/>
      <c r="BH26" s="964"/>
      <c r="BK26" s="266" t="s">
        <v>1195</v>
      </c>
      <c r="BL26" s="205">
        <f>6.5*2</f>
        <v>13</v>
      </c>
      <c r="BM26" s="964"/>
      <c r="BN26" s="964"/>
      <c r="BQ26" s="266" t="s">
        <v>1195</v>
      </c>
      <c r="BR26" s="205">
        <v>13</v>
      </c>
      <c r="BS26" s="964"/>
      <c r="BT26" s="964"/>
      <c r="BW26" s="266" t="s">
        <v>1195</v>
      </c>
      <c r="BX26" s="205">
        <v>13</v>
      </c>
      <c r="BY26" s="964"/>
      <c r="BZ26" s="964"/>
      <c r="CC26" s="266" t="s">
        <v>1195</v>
      </c>
      <c r="CD26" s="205">
        <v>13</v>
      </c>
      <c r="CE26" s="964"/>
      <c r="CF26" s="96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92" t="s">
        <v>1536</v>
      </c>
      <c r="DZ26" s="99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87" t="s">
        <v>1536</v>
      </c>
      <c r="ES26" s="987"/>
      <c r="ET26" s="1" t="s">
        <v>1703</v>
      </c>
      <c r="EU26" s="272">
        <v>20000</v>
      </c>
      <c r="EW26" s="98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3057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2885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2881</v>
      </c>
      <c r="JU26" s="61">
        <v>41.5</v>
      </c>
      <c r="JV26" s="769"/>
      <c r="JW26" s="61"/>
      <c r="JX26" s="832"/>
      <c r="JY26" s="832"/>
      <c r="JZ26" s="345" t="s">
        <v>3030</v>
      </c>
      <c r="KA26" s="61">
        <v>30</v>
      </c>
      <c r="KB26" s="855" t="s">
        <v>2416</v>
      </c>
      <c r="KC26" s="61"/>
      <c r="KD26" s="904"/>
      <c r="KE26" s="904"/>
      <c r="KF26" s="337" t="s">
        <v>2980</v>
      </c>
      <c r="KG26" s="533">
        <v>63.1</v>
      </c>
      <c r="KH26" s="897" t="s">
        <v>2675</v>
      </c>
      <c r="KI26" s="268">
        <v>15</v>
      </c>
      <c r="KJ26" s="900" t="s">
        <v>3083</v>
      </c>
      <c r="KL26" s="143" t="s">
        <v>2611</v>
      </c>
      <c r="KM26" s="534"/>
      <c r="KN26" s="254" t="s">
        <v>3127</v>
      </c>
      <c r="KO26" s="517"/>
      <c r="KP26" s="607"/>
    </row>
    <row r="27" spans="1:303" ht="12.75" customHeight="1">
      <c r="A27" s="964"/>
      <c r="B27" s="964"/>
      <c r="F27" s="194"/>
      <c r="G27" s="964"/>
      <c r="H27" s="964"/>
      <c r="K27"/>
      <c r="M27" s="997" t="s">
        <v>506</v>
      </c>
      <c r="N27" s="997"/>
      <c r="Q27" s="244" t="s">
        <v>1019</v>
      </c>
      <c r="R27" s="142">
        <v>0</v>
      </c>
      <c r="S27" s="997" t="s">
        <v>506</v>
      </c>
      <c r="T27" s="997"/>
      <c r="W27" s="143" t="s">
        <v>1051</v>
      </c>
      <c r="X27" s="142">
        <v>60.75</v>
      </c>
      <c r="Y27" s="964"/>
      <c r="Z27" s="964"/>
      <c r="AC27" s="219" t="s">
        <v>1092</v>
      </c>
      <c r="AD27" s="219"/>
      <c r="AE27" s="997" t="s">
        <v>506</v>
      </c>
      <c r="AF27" s="99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87" t="s">
        <v>1536</v>
      </c>
      <c r="EY27" s="98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42" t="s">
        <v>2170</v>
      </c>
      <c r="HQ27" s="942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2952</v>
      </c>
      <c r="KA27" s="534">
        <f>131.87*2</f>
        <v>263.74</v>
      </c>
      <c r="KB27" s="855"/>
      <c r="KC27" s="861"/>
      <c r="KF27" s="337" t="s">
        <v>2984</v>
      </c>
      <c r="KG27" s="533">
        <v>45.74</v>
      </c>
      <c r="KH27" s="896" t="s">
        <v>2671</v>
      </c>
      <c r="KI27" s="2">
        <v>130</v>
      </c>
      <c r="KJ27" s="915" t="s">
        <v>3106</v>
      </c>
      <c r="KK27" s="890">
        <f>20000*(1-0.9814)</f>
        <v>371.99999999999898</v>
      </c>
      <c r="KL27" s="143" t="s">
        <v>1195</v>
      </c>
      <c r="KM27" s="61">
        <f>6.5+15</f>
        <v>21.5</v>
      </c>
      <c r="KN27" s="897" t="s">
        <v>3060</v>
      </c>
      <c r="KO27" s="268">
        <v>12</v>
      </c>
      <c r="KP27" s="606">
        <v>45197</v>
      </c>
      <c r="KQ27" s="916"/>
    </row>
    <row r="28" spans="1:303">
      <c r="A28" s="964"/>
      <c r="B28" s="964"/>
      <c r="E28" s="193" t="s">
        <v>360</v>
      </c>
      <c r="F28" s="194"/>
      <c r="G28" s="964"/>
      <c r="H28" s="964"/>
      <c r="K28" s="143" t="s">
        <v>1017</v>
      </c>
      <c r="L28" s="142">
        <f>60</f>
        <v>60</v>
      </c>
      <c r="M28" s="997" t="s">
        <v>992</v>
      </c>
      <c r="N28" s="997"/>
      <c r="Q28" s="244" t="s">
        <v>1073</v>
      </c>
      <c r="R28" s="205">
        <v>200</v>
      </c>
      <c r="S28" s="997" t="s">
        <v>992</v>
      </c>
      <c r="T28" s="997"/>
      <c r="W28" s="143" t="s">
        <v>1016</v>
      </c>
      <c r="X28" s="142">
        <v>61.35</v>
      </c>
      <c r="Y28" s="997" t="s">
        <v>506</v>
      </c>
      <c r="Z28" s="997"/>
      <c r="AC28" s="219" t="s">
        <v>1088</v>
      </c>
      <c r="AD28" s="219">
        <f>53+207+63</f>
        <v>323</v>
      </c>
      <c r="AE28" s="997" t="s">
        <v>992</v>
      </c>
      <c r="AF28" s="99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87" t="s">
        <v>1747</v>
      </c>
      <c r="FE28" s="98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42" t="s">
        <v>2170</v>
      </c>
      <c r="JA28" s="942"/>
      <c r="JB28" s="337" t="s">
        <v>2886</v>
      </c>
      <c r="JC28" s="61">
        <v>34</v>
      </c>
      <c r="JF28" s="192" t="s">
        <v>1958</v>
      </c>
      <c r="JG28" s="273">
        <f>SUM(JI6:JI7)</f>
        <v>3900.1</v>
      </c>
      <c r="JH28" s="337" t="s">
        <v>2887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3054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3054</v>
      </c>
      <c r="JU28" s="78">
        <f>13</f>
        <v>13</v>
      </c>
      <c r="JV28" s="792"/>
      <c r="JW28" s="61"/>
      <c r="JX28" s="832"/>
      <c r="JY28" s="832"/>
      <c r="JZ28" s="345" t="s">
        <v>2940</v>
      </c>
      <c r="KA28" s="61">
        <f>(15+6.5)*2</f>
        <v>43</v>
      </c>
      <c r="KB28" s="924"/>
      <c r="KC28" s="924"/>
      <c r="KD28" s="847" t="s">
        <v>2761</v>
      </c>
      <c r="KE28" s="847"/>
      <c r="KF28" s="337" t="s">
        <v>2988</v>
      </c>
      <c r="KG28" s="533">
        <v>21.12</v>
      </c>
      <c r="KH28" s="896" t="s">
        <v>2670</v>
      </c>
      <c r="KI28" s="2"/>
      <c r="KJ28" s="923" t="s">
        <v>3107</v>
      </c>
      <c r="KK28" s="922">
        <f>20000*(1-0.97971)</f>
        <v>405.80000000000058</v>
      </c>
      <c r="KL28" s="143" t="s">
        <v>2782</v>
      </c>
      <c r="KM28" s="61">
        <f>14.32+9*2</f>
        <v>32.32</v>
      </c>
      <c r="KN28" s="896" t="s">
        <v>3020</v>
      </c>
      <c r="KO28" s="2">
        <v>110</v>
      </c>
      <c r="KP28" s="606">
        <v>45198</v>
      </c>
    </row>
    <row r="29" spans="1:303">
      <c r="A29" s="997" t="s">
        <v>506</v>
      </c>
      <c r="B29" s="997"/>
      <c r="E29" s="193" t="s">
        <v>282</v>
      </c>
      <c r="F29" s="194"/>
      <c r="G29" s="997" t="s">
        <v>506</v>
      </c>
      <c r="H29" s="997"/>
      <c r="K29" s="143" t="s">
        <v>1016</v>
      </c>
      <c r="L29" s="142">
        <v>0</v>
      </c>
      <c r="M29" s="999" t="s">
        <v>93</v>
      </c>
      <c r="N29" s="999"/>
      <c r="Q29" s="244" t="s">
        <v>1050</v>
      </c>
      <c r="R29" s="142">
        <v>0</v>
      </c>
      <c r="S29" s="999" t="s">
        <v>93</v>
      </c>
      <c r="T29" s="999"/>
      <c r="W29" s="143" t="s">
        <v>1015</v>
      </c>
      <c r="X29" s="142">
        <v>64</v>
      </c>
      <c r="Y29" s="997" t="s">
        <v>992</v>
      </c>
      <c r="Z29" s="997"/>
      <c r="AC29" s="219" t="s">
        <v>1089</v>
      </c>
      <c r="AD29" s="219">
        <f>63+46</f>
        <v>109</v>
      </c>
      <c r="AE29" s="999" t="s">
        <v>93</v>
      </c>
      <c r="AF29" s="99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87" t="s">
        <v>1536</v>
      </c>
      <c r="EM29" s="98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2881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2888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8" t="s">
        <v>2447</v>
      </c>
      <c r="KI29" s="2">
        <v>1000</v>
      </c>
      <c r="KJ29" s="938"/>
      <c r="KK29" s="938"/>
      <c r="KL29" s="143" t="s">
        <v>3004</v>
      </c>
      <c r="KM29" s="61"/>
      <c r="KN29" s="898" t="s">
        <v>2447</v>
      </c>
      <c r="KO29" s="2">
        <v>1000</v>
      </c>
    </row>
    <row r="30" spans="1:303">
      <c r="A30" s="997" t="s">
        <v>992</v>
      </c>
      <c r="B30" s="997"/>
      <c r="E30" s="193" t="s">
        <v>372</v>
      </c>
      <c r="F30" s="194"/>
      <c r="G30" s="997" t="s">
        <v>992</v>
      </c>
      <c r="H30" s="997"/>
      <c r="K30" s="143" t="s">
        <v>1015</v>
      </c>
      <c r="L30" s="142">
        <v>64</v>
      </c>
      <c r="M30" s="964" t="s">
        <v>385</v>
      </c>
      <c r="N30" s="964"/>
      <c r="Q30"/>
      <c r="S30" s="964" t="s">
        <v>385</v>
      </c>
      <c r="T30" s="964"/>
      <c r="W30" s="143" t="s">
        <v>1014</v>
      </c>
      <c r="X30" s="142">
        <v>100.01</v>
      </c>
      <c r="Y30" s="999" t="s">
        <v>93</v>
      </c>
      <c r="Z30" s="999"/>
      <c r="AC30" s="142" t="s">
        <v>1087</v>
      </c>
      <c r="AD30" s="142">
        <v>65</v>
      </c>
      <c r="AE30" s="964" t="s">
        <v>385</v>
      </c>
      <c r="AF30" s="96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87" t="s">
        <v>1747</v>
      </c>
      <c r="FK30" s="98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3108</v>
      </c>
      <c r="KE30" s="273">
        <f>SUM(KG8:KG10)</f>
        <v>203044.96999999997</v>
      </c>
      <c r="KF30" s="412">
        <v>34.15</v>
      </c>
      <c r="KG30" s="534"/>
      <c r="KH30" s="895" t="s">
        <v>2465</v>
      </c>
      <c r="KI30" s="61"/>
      <c r="KJ30" s="938"/>
      <c r="KK30" s="939"/>
      <c r="KL30" s="143" t="s">
        <v>2833</v>
      </c>
      <c r="KM30" s="203">
        <v>10.8</v>
      </c>
      <c r="KN30" s="895" t="s">
        <v>2465</v>
      </c>
      <c r="KO30" s="61"/>
    </row>
    <row r="31" spans="1:303" ht="12.75" customHeight="1">
      <c r="A31" s="999" t="s">
        <v>93</v>
      </c>
      <c r="B31" s="999"/>
      <c r="E31" s="193" t="s">
        <v>1007</v>
      </c>
      <c r="F31" s="170"/>
      <c r="G31" s="999" t="s">
        <v>93</v>
      </c>
      <c r="H31" s="999"/>
      <c r="K31" s="143" t="s">
        <v>1014</v>
      </c>
      <c r="L31" s="142">
        <v>50.01</v>
      </c>
      <c r="M31" s="1000" t="s">
        <v>1001</v>
      </c>
      <c r="N31" s="1000"/>
      <c r="Q31" s="143" t="s">
        <v>1052</v>
      </c>
      <c r="R31" s="142">
        <v>26</v>
      </c>
      <c r="S31" s="1000" t="s">
        <v>1001</v>
      </c>
      <c r="T31" s="1000"/>
      <c r="W31"/>
      <c r="Y31" s="964" t="s">
        <v>385</v>
      </c>
      <c r="Z31" s="964"/>
      <c r="AC31" s="142" t="s">
        <v>1090</v>
      </c>
      <c r="AD31" s="142">
        <v>10</v>
      </c>
      <c r="AE31" s="1000" t="s">
        <v>1001</v>
      </c>
      <c r="AF31" s="100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2971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5" t="s">
        <v>2918</v>
      </c>
      <c r="KI31" s="61">
        <v>1.64</v>
      </c>
      <c r="KJ31" s="938"/>
      <c r="KK31" s="938"/>
      <c r="KL31" s="143" t="s">
        <v>2362</v>
      </c>
      <c r="KM31" s="61">
        <f>13.32+12.76+19.15+15.12+10.3+10</f>
        <v>80.649999999999991</v>
      </c>
      <c r="KN31" s="890" t="s">
        <v>3092</v>
      </c>
      <c r="KO31" s="61">
        <v>58.2</v>
      </c>
    </row>
    <row r="32" spans="1:303">
      <c r="A32" s="964" t="s">
        <v>385</v>
      </c>
      <c r="B32" s="964"/>
      <c r="E32" s="170"/>
      <c r="F32" s="170"/>
      <c r="G32" s="964" t="s">
        <v>385</v>
      </c>
      <c r="H32" s="964"/>
      <c r="K32"/>
      <c r="M32" s="996" t="s">
        <v>243</v>
      </c>
      <c r="N32" s="996"/>
      <c r="Q32" s="143" t="s">
        <v>1051</v>
      </c>
      <c r="R32" s="142">
        <v>55</v>
      </c>
      <c r="S32" s="996" t="s">
        <v>243</v>
      </c>
      <c r="T32" s="996"/>
      <c r="W32" s="243" t="s">
        <v>1072</v>
      </c>
      <c r="X32" s="243">
        <v>0</v>
      </c>
      <c r="Y32" s="1000" t="s">
        <v>1001</v>
      </c>
      <c r="Z32" s="1000"/>
      <c r="AE32" s="996" t="s">
        <v>243</v>
      </c>
      <c r="AF32" s="99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84" t="s">
        <v>1438</v>
      </c>
      <c r="DP32" s="98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2881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42" t="s">
        <v>2170</v>
      </c>
      <c r="IO32" s="942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3054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409">
        <v>10</v>
      </c>
      <c r="KG32" s="816" t="s">
        <v>2873</v>
      </c>
      <c r="KH32" s="895" t="s">
        <v>2977</v>
      </c>
      <c r="KI32" s="61"/>
      <c r="KJ32" s="938"/>
      <c r="KK32" s="938"/>
      <c r="KL32" s="337" t="s">
        <v>3098</v>
      </c>
      <c r="KM32" s="61">
        <f>80+115</f>
        <v>195</v>
      </c>
      <c r="KN32" s="921" t="s">
        <v>3103</v>
      </c>
      <c r="KO32" s="920">
        <v>16.3</v>
      </c>
      <c r="KP32" s="920"/>
    </row>
    <row r="33" spans="1:303">
      <c r="A33" s="1000" t="s">
        <v>1001</v>
      </c>
      <c r="B33" s="1000"/>
      <c r="C33" s="3"/>
      <c r="D33" s="3"/>
      <c r="E33" s="246"/>
      <c r="F33" s="246"/>
      <c r="G33" s="1000" t="s">
        <v>1001</v>
      </c>
      <c r="H33" s="1000"/>
      <c r="K33" s="243" t="s">
        <v>1021</v>
      </c>
      <c r="L33" s="243"/>
      <c r="M33" s="998" t="s">
        <v>1034</v>
      </c>
      <c r="N33" s="998"/>
      <c r="Q33" s="143" t="s">
        <v>1016</v>
      </c>
      <c r="R33" s="142">
        <v>77.239999999999995</v>
      </c>
      <c r="S33" s="998" t="s">
        <v>1034</v>
      </c>
      <c r="T33" s="998"/>
      <c r="Y33" s="996" t="s">
        <v>243</v>
      </c>
      <c r="Z33" s="996"/>
      <c r="AC33" s="197" t="s">
        <v>1012</v>
      </c>
      <c r="AD33" s="142">
        <v>350</v>
      </c>
      <c r="AE33" s="998" t="s">
        <v>1034</v>
      </c>
      <c r="AF33" s="99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94" t="s">
        <v>1411</v>
      </c>
      <c r="DB33" s="99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2882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3057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3031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2948</v>
      </c>
      <c r="KE33" s="2">
        <f>SUM(KG11:KG19)</f>
        <v>1038.25</v>
      </c>
      <c r="KF33" s="409">
        <v>70</v>
      </c>
      <c r="KG33" s="543" t="s">
        <v>1828</v>
      </c>
      <c r="KH33" s="895" t="s">
        <v>2986</v>
      </c>
      <c r="KI33" s="283">
        <v>52.8</v>
      </c>
      <c r="KL33" s="337" t="s">
        <v>3072</v>
      </c>
      <c r="KM33" s="61">
        <v>30</v>
      </c>
      <c r="KN33" s="921" t="s">
        <v>3104</v>
      </c>
      <c r="KO33" s="920">
        <v>52.8</v>
      </c>
      <c r="KP33" s="920"/>
    </row>
    <row r="34" spans="1:303">
      <c r="A34" s="996" t="s">
        <v>243</v>
      </c>
      <c r="B34" s="996"/>
      <c r="E34" s="170"/>
      <c r="F34" s="170"/>
      <c r="G34" s="996" t="s">
        <v>243</v>
      </c>
      <c r="H34" s="99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98" t="s">
        <v>1034</v>
      </c>
      <c r="Z34" s="99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5" t="s">
        <v>2996</v>
      </c>
      <c r="KI34" s="890">
        <v>104</v>
      </c>
      <c r="KK34" s="896"/>
      <c r="KL34" s="337" t="s">
        <v>3011</v>
      </c>
      <c r="KM34" s="61">
        <v>30.06</v>
      </c>
      <c r="KN34" s="921" t="s">
        <v>3105</v>
      </c>
      <c r="KO34" s="920">
        <v>57.6</v>
      </c>
    </row>
    <row r="35" spans="1:303" ht="14.25" customHeight="1">
      <c r="A35" s="1002" t="s">
        <v>342</v>
      </c>
      <c r="B35" s="1002"/>
      <c r="E35" s="187" t="s">
        <v>368</v>
      </c>
      <c r="F35" s="170"/>
      <c r="G35" s="1002" t="s">
        <v>342</v>
      </c>
      <c r="H35" s="100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3058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3098</v>
      </c>
      <c r="KA35" s="61">
        <v>115</v>
      </c>
      <c r="KD35" s="337" t="s">
        <v>2971</v>
      </c>
      <c r="KE35" s="868">
        <f>SUM(KG22:KG28)</f>
        <v>339.56</v>
      </c>
      <c r="KF35" s="409">
        <v>30</v>
      </c>
      <c r="KG35" s="543" t="s">
        <v>2969</v>
      </c>
      <c r="KH35" s="895" t="s">
        <v>2416</v>
      </c>
      <c r="KL35" s="337" t="s">
        <v>3078</v>
      </c>
      <c r="KM35" s="61">
        <v>21.5</v>
      </c>
      <c r="KN35" s="911" t="s">
        <v>3064</v>
      </c>
      <c r="KP35" s="907"/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2872</v>
      </c>
      <c r="KA36" s="61">
        <v>175</v>
      </c>
      <c r="KD36" s="341" t="s">
        <v>2987</v>
      </c>
      <c r="KE36" s="869">
        <v>100</v>
      </c>
      <c r="KF36" s="409">
        <v>6</v>
      </c>
      <c r="KG36" s="543" t="s">
        <v>2967</v>
      </c>
      <c r="KH36" s="895" t="s">
        <v>3008</v>
      </c>
      <c r="KI36" s="2">
        <v>194</v>
      </c>
      <c r="KL36" s="337" t="s">
        <v>3090</v>
      </c>
      <c r="KM36" s="533">
        <v>44.55</v>
      </c>
      <c r="KN36" s="895" t="s">
        <v>2416</v>
      </c>
      <c r="KO36" s="61"/>
      <c r="KP36" s="907"/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89" t="s">
        <v>1536</v>
      </c>
      <c r="DT37" s="99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2921</v>
      </c>
      <c r="KA37" s="533">
        <v>10</v>
      </c>
      <c r="KF37" s="409">
        <v>25.9</v>
      </c>
      <c r="KG37" s="543" t="s">
        <v>2998</v>
      </c>
      <c r="KL37" s="337" t="s">
        <v>2756</v>
      </c>
      <c r="KM37" s="533">
        <v>57.86</v>
      </c>
      <c r="KN37" s="932"/>
      <c r="KO37" s="2"/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2896</v>
      </c>
      <c r="KA38" s="61">
        <f>45.73</f>
        <v>45.73</v>
      </c>
      <c r="KF38" s="882" t="s">
        <v>2989</v>
      </c>
      <c r="KG38" s="532">
        <v>70</v>
      </c>
      <c r="KJ38" s="888" t="s">
        <v>2761</v>
      </c>
      <c r="KK38" s="888"/>
      <c r="KL38" s="337" t="s">
        <v>3089</v>
      </c>
      <c r="KM38" s="533">
        <v>36.5</v>
      </c>
      <c r="KN38" s="919"/>
      <c r="KO38" s="61"/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2902</v>
      </c>
      <c r="KA39" s="533">
        <v>33.03</v>
      </c>
      <c r="KF39" s="65" t="s">
        <v>3032</v>
      </c>
      <c r="KG39" s="849">
        <v>324</v>
      </c>
      <c r="KH39" s="890" t="s">
        <v>506</v>
      </c>
      <c r="KJ39" s="925" t="s">
        <v>1958</v>
      </c>
      <c r="KK39" s="273">
        <f>SUM(KM6:KM6)</f>
        <v>1900.1</v>
      </c>
      <c r="KL39" s="337" t="s">
        <v>3121</v>
      </c>
      <c r="KM39" s="533" t="s">
        <v>3120</v>
      </c>
      <c r="KN39" s="890" t="s">
        <v>506</v>
      </c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84" t="s">
        <v>1438</v>
      </c>
      <c r="DJ40" s="98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42" t="s">
        <v>2170</v>
      </c>
      <c r="II40" s="942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901" t="s">
        <v>2970</v>
      </c>
      <c r="KG40" s="849">
        <v>39.700000000000003</v>
      </c>
      <c r="KH40" s="890" t="s">
        <v>93</v>
      </c>
      <c r="KJ40" s="388" t="s">
        <v>3116</v>
      </c>
      <c r="KK40" s="273">
        <f>SUM(KM17:KM20)</f>
        <v>53587.573000000004</v>
      </c>
      <c r="KL40" s="890" t="s">
        <v>3063</v>
      </c>
      <c r="KM40" s="78">
        <v>400</v>
      </c>
      <c r="KN40" s="999" t="s">
        <v>3082</v>
      </c>
      <c r="KO40" s="999"/>
      <c r="KQ40" s="745"/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3108</v>
      </c>
      <c r="JY41" s="273">
        <f>SUM(KA20:KA23)</f>
        <v>6114.74</v>
      </c>
      <c r="JZ41" s="337" t="s">
        <v>2880</v>
      </c>
      <c r="KA41" s="533">
        <v>31</v>
      </c>
      <c r="KB41" s="844"/>
      <c r="KC41" s="859"/>
      <c r="KD41" s="849"/>
      <c r="KE41" s="896"/>
      <c r="KF41" s="212" t="s">
        <v>2590</v>
      </c>
      <c r="KG41" s="407">
        <v>110.1</v>
      </c>
      <c r="KH41" s="890"/>
      <c r="KI41" s="890"/>
      <c r="KJ41" s="926" t="s">
        <v>3102</v>
      </c>
      <c r="KK41" s="2">
        <f>KM7</f>
        <v>0</v>
      </c>
      <c r="KL41" s="9" t="s">
        <v>2196</v>
      </c>
      <c r="KM41" s="534">
        <f>166+85+79</f>
        <v>330</v>
      </c>
      <c r="KN41" s="890"/>
      <c r="KO41" s="890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2906</v>
      </c>
      <c r="KA42" s="533">
        <v>13.15</v>
      </c>
      <c r="KE42" s="896"/>
      <c r="KF42" s="901" t="s">
        <v>2982</v>
      </c>
      <c r="KG42" s="849">
        <v>81.84</v>
      </c>
      <c r="KJ42" s="347" t="s">
        <v>3110</v>
      </c>
      <c r="KK42" s="2">
        <f>SUM(KM8:KM10)</f>
        <v>1201.5700000000002</v>
      </c>
      <c r="KL42" s="412">
        <v>43.63</v>
      </c>
      <c r="KM42" s="534"/>
      <c r="KN42" s="890" t="s">
        <v>3080</v>
      </c>
      <c r="KQ42" s="807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2903</v>
      </c>
      <c r="KA43" s="533">
        <v>38.200000000000003</v>
      </c>
      <c r="KB43" s="844"/>
      <c r="KC43" s="859"/>
      <c r="KD43" s="849"/>
      <c r="KE43" s="914" t="s">
        <v>2855</v>
      </c>
      <c r="KF43" s="901" t="s">
        <v>2966</v>
      </c>
      <c r="KG43" s="849">
        <v>37.700000000000003</v>
      </c>
      <c r="KH43" s="890"/>
      <c r="KI43" s="890"/>
      <c r="KJ43" s="263" t="s">
        <v>3111</v>
      </c>
      <c r="KK43" s="644">
        <f>SUM(KM11:KM16)</f>
        <v>473.34000000000003</v>
      </c>
      <c r="KL43" s="386" t="s">
        <v>1411</v>
      </c>
      <c r="KM43" s="408">
        <f>KI27+KK48-KO28</f>
        <v>270</v>
      </c>
      <c r="KN43" s="890" t="s">
        <v>3081</v>
      </c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2905</v>
      </c>
      <c r="KA44" s="533">
        <v>10.5</v>
      </c>
      <c r="KE44" s="896"/>
      <c r="KF44" s="901" t="s">
        <v>2965</v>
      </c>
      <c r="KG44" s="849">
        <v>35.25</v>
      </c>
      <c r="KJ44" s="928" t="s">
        <v>2948</v>
      </c>
      <c r="KK44" s="2">
        <f>SUM(KM21:KM31)</f>
        <v>705.447</v>
      </c>
      <c r="KL44" s="409">
        <v>40</v>
      </c>
      <c r="KM44" s="816" t="s">
        <v>2218</v>
      </c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3044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2941</v>
      </c>
      <c r="KA45" s="61">
        <f>47.8+1.2+2.5+3.2</f>
        <v>54.7</v>
      </c>
      <c r="KE45" s="896"/>
      <c r="KF45" s="902" t="s">
        <v>2983</v>
      </c>
      <c r="KG45" s="849">
        <v>98.58</v>
      </c>
      <c r="KJ45" s="337" t="s">
        <v>2164</v>
      </c>
      <c r="KK45" s="2">
        <f>SUM(KM32:KM39)</f>
        <v>415.47</v>
      </c>
      <c r="KL45" s="409">
        <v>6</v>
      </c>
      <c r="KM45" s="543" t="s">
        <v>3071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2971</v>
      </c>
      <c r="JY46" s="2">
        <f>SUM(KA38:KA46)</f>
        <v>301.70999999999998</v>
      </c>
      <c r="JZ46" s="337" t="s">
        <v>2930</v>
      </c>
      <c r="KA46" s="533">
        <v>26.5</v>
      </c>
      <c r="KE46" s="896"/>
      <c r="KJ46" s="337" t="s">
        <v>2971</v>
      </c>
      <c r="KK46" s="868">
        <f>SUM(KM34:KM39)</f>
        <v>190.47</v>
      </c>
      <c r="KL46" s="409">
        <v>10</v>
      </c>
      <c r="KM46" s="543" t="s">
        <v>3070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3054</v>
      </c>
      <c r="KA47" s="78">
        <f>8+61+1</f>
        <v>70</v>
      </c>
      <c r="KE47" s="896"/>
      <c r="KL47" s="409">
        <v>6</v>
      </c>
      <c r="KM47" s="543" t="s">
        <v>3069</v>
      </c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3055</v>
      </c>
      <c r="KA48" s="78">
        <v>300</v>
      </c>
      <c r="KJ48" s="341" t="s">
        <v>3086</v>
      </c>
      <c r="KK48" s="869">
        <v>250</v>
      </c>
      <c r="KL48" s="409">
        <v>100</v>
      </c>
      <c r="KM48" s="543" t="s">
        <v>3067</v>
      </c>
    </row>
    <row r="49" spans="41:29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83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  <c r="KL49" s="409">
        <v>9</v>
      </c>
      <c r="KM49" s="543" t="s">
        <v>3068</v>
      </c>
    </row>
    <row r="50" spans="41:29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83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2942</v>
      </c>
      <c r="KG50" s="851"/>
      <c r="KJ50" s="890" t="s">
        <v>3075</v>
      </c>
      <c r="KK50" s="896"/>
      <c r="KL50" s="409">
        <v>10</v>
      </c>
      <c r="KM50" s="543" t="s">
        <v>3077</v>
      </c>
    </row>
    <row r="51" spans="41:29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83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J51" s="890" t="s">
        <v>3076</v>
      </c>
      <c r="KK51" s="896"/>
      <c r="KL51" s="409">
        <v>20</v>
      </c>
      <c r="KM51" s="543" t="s">
        <v>3114</v>
      </c>
    </row>
    <row r="52" spans="41:29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83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2943</v>
      </c>
      <c r="KL52" s="409">
        <v>24</v>
      </c>
      <c r="KM52" s="543" t="s">
        <v>3087</v>
      </c>
    </row>
    <row r="53" spans="41:29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2931</v>
      </c>
      <c r="JY53" s="353">
        <v>200</v>
      </c>
      <c r="JZ53" s="409">
        <v>25</v>
      </c>
      <c r="KA53" s="543" t="s">
        <v>2873</v>
      </c>
      <c r="KL53" s="409">
        <v>8</v>
      </c>
      <c r="KM53" s="543" t="s">
        <v>3119</v>
      </c>
    </row>
    <row r="54" spans="41:29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L54" s="890" t="s">
        <v>3097</v>
      </c>
      <c r="KM54" s="890">
        <v>7.2</v>
      </c>
    </row>
    <row r="55" spans="41:29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2878</v>
      </c>
      <c r="KL55" s="890" t="s">
        <v>3095</v>
      </c>
      <c r="KM55" s="890">
        <v>32.4</v>
      </c>
    </row>
    <row r="56" spans="41:29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2907</v>
      </c>
      <c r="KL56" s="882" t="s">
        <v>3096</v>
      </c>
      <c r="KM56" s="532">
        <v>1746</v>
      </c>
    </row>
    <row r="57" spans="41:29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2909</v>
      </c>
    </row>
    <row r="58" spans="41:29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2908</v>
      </c>
      <c r="KL58" s="882"/>
      <c r="KM58" s="532"/>
    </row>
    <row r="59" spans="41:29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2912</v>
      </c>
      <c r="KA60" s="796">
        <v>31.001000000000001</v>
      </c>
    </row>
    <row r="61" spans="41:29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3025</v>
      </c>
      <c r="KA61" s="407">
        <f>30/5.217</f>
        <v>5.7504312823461765</v>
      </c>
      <c r="KM61" s="893"/>
    </row>
    <row r="62" spans="41:29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2910</v>
      </c>
      <c r="KA62" s="796">
        <v>21.81</v>
      </c>
    </row>
    <row r="63" spans="41:29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2945</v>
      </c>
      <c r="KA63" s="796">
        <v>11.25</v>
      </c>
    </row>
    <row r="64" spans="41:29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2871</v>
      </c>
      <c r="KA64" s="796">
        <v>117.5</v>
      </c>
    </row>
    <row r="65" spans="111:301">
      <c r="DG65" s="218" t="s">
        <v>1167</v>
      </c>
      <c r="DH65" s="302">
        <v>1500</v>
      </c>
      <c r="IP65" s="400"/>
      <c r="JK65" s="390"/>
      <c r="JQ65" s="390"/>
      <c r="JZ65" s="796" t="s">
        <v>2898</v>
      </c>
      <c r="KA65" s="825">
        <v>36.200000000000003</v>
      </c>
    </row>
    <row r="66" spans="111:301">
      <c r="IJ66" s="398"/>
      <c r="IK66" s="344"/>
      <c r="IP66" s="400"/>
      <c r="JZ66" s="837" t="s">
        <v>2892</v>
      </c>
      <c r="KA66" s="796">
        <v>9.8000000000000007</v>
      </c>
      <c r="KO66" s="390"/>
    </row>
    <row r="67" spans="111:301">
      <c r="IK67" s="493"/>
      <c r="IM67" s="390"/>
      <c r="IP67" s="400"/>
      <c r="IS67" s="390"/>
      <c r="JZ67" s="835" t="s">
        <v>2928</v>
      </c>
      <c r="KA67" s="835">
        <v>9.77</v>
      </c>
      <c r="KI67" s="390"/>
    </row>
    <row r="68" spans="111:301">
      <c r="IJ68" s="400"/>
      <c r="IP68" s="400"/>
      <c r="JZ68" s="835" t="s">
        <v>2927</v>
      </c>
      <c r="KA68" s="835">
        <v>11.9</v>
      </c>
    </row>
    <row r="69" spans="111:301">
      <c r="HO69" s="390"/>
      <c r="IG69" s="390"/>
      <c r="IJ69" s="400"/>
      <c r="JZ69" s="835" t="s">
        <v>2929</v>
      </c>
      <c r="KA69" s="835">
        <v>6.62</v>
      </c>
    </row>
    <row r="70" spans="111:301">
      <c r="IJ70" s="400"/>
      <c r="JZ70" s="11" t="s">
        <v>2879</v>
      </c>
      <c r="KA70" s="807">
        <v>69</v>
      </c>
    </row>
    <row r="71" spans="111:301">
      <c r="IJ71" s="400"/>
      <c r="JZ71" s="11" t="s">
        <v>2899</v>
      </c>
      <c r="KA71" s="796">
        <v>8</v>
      </c>
    </row>
    <row r="72" spans="111:301">
      <c r="IJ72" s="400"/>
      <c r="JY72" s="796" t="s">
        <v>2855</v>
      </c>
      <c r="JZ72" s="845" t="s">
        <v>2944</v>
      </c>
      <c r="KA72" s="843">
        <v>29.7</v>
      </c>
    </row>
    <row r="73" spans="111:301">
      <c r="IJ73" s="400"/>
      <c r="JZ73" s="11" t="s">
        <v>2911</v>
      </c>
      <c r="KA73" s="796">
        <v>8.1999999999999993</v>
      </c>
    </row>
    <row r="74" spans="111:301">
      <c r="HI74" s="390"/>
    </row>
    <row r="76" spans="111:301">
      <c r="GW76" s="390"/>
    </row>
    <row r="77" spans="111:301">
      <c r="HU77" s="390"/>
    </row>
    <row r="78" spans="111:301">
      <c r="HC78" s="390"/>
    </row>
    <row r="79" spans="111:301">
      <c r="IA79" s="390"/>
    </row>
  </sheetData>
  <mergeCells count="252">
    <mergeCell ref="KN40:KO40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KJ16:KK16"/>
    <mergeCell ref="KD15:KE1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 KK46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09" customWidth="1"/>
    <col min="24" max="24" width="8.5703125" style="909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09"/>
      <c r="X1" s="909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09"/>
      <c r="X2" s="909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51" t="s">
        <v>2974</v>
      </c>
      <c r="S4" s="951"/>
      <c r="T4" s="767" t="s">
        <v>2808</v>
      </c>
      <c r="V4" s="951" t="s">
        <v>2974</v>
      </c>
      <c r="W4" s="951"/>
      <c r="X4" s="909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10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09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09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2979</v>
      </c>
      <c r="T32" s="887" t="s">
        <v>2979</v>
      </c>
      <c r="V32" s="879">
        <v>45173</v>
      </c>
      <c r="W32" s="909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2979</v>
      </c>
      <c r="T33" s="887" t="s">
        <v>2979</v>
      </c>
      <c r="V33" s="879">
        <v>45172</v>
      </c>
      <c r="W33" s="909">
        <v>360</v>
      </c>
      <c r="X33" s="831">
        <f t="shared" si="8"/>
        <v>33.534246575342465</v>
      </c>
    </row>
    <row r="34" spans="1:24">
      <c r="R34" s="879">
        <v>45140</v>
      </c>
      <c r="S34" s="872" t="s">
        <v>2979</v>
      </c>
      <c r="T34" s="887" t="s">
        <v>2979</v>
      </c>
      <c r="V34" s="879">
        <v>45171</v>
      </c>
      <c r="W34" s="909">
        <v>360</v>
      </c>
      <c r="X34" s="831">
        <f t="shared" si="8"/>
        <v>33.534246575342465</v>
      </c>
    </row>
    <row r="35" spans="1:24">
      <c r="B35" s="879" t="s">
        <v>2894</v>
      </c>
      <c r="D35" s="407">
        <f>SUM(D3:D33)*88</f>
        <v>1895.7128767123286</v>
      </c>
      <c r="F35" s="879" t="s">
        <v>2894</v>
      </c>
      <c r="H35" s="407">
        <f>SUM(H3:H33)*88</f>
        <v>2121.0410958904108</v>
      </c>
      <c r="J35" s="879" t="s">
        <v>2894</v>
      </c>
      <c r="L35" s="407">
        <f>SUM(L3:L33)*88</f>
        <v>2597.8082191780818</v>
      </c>
      <c r="N35" s="879" t="s">
        <v>2894</v>
      </c>
      <c r="P35" s="407">
        <f>SUM(P3:P33)*88</f>
        <v>2650.7287671232875</v>
      </c>
      <c r="R35" s="879">
        <v>45139</v>
      </c>
      <c r="S35" s="872" t="s">
        <v>2979</v>
      </c>
      <c r="T35" s="887" t="s">
        <v>2979</v>
      </c>
      <c r="V35" s="879">
        <v>45170</v>
      </c>
      <c r="W35" s="909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2894</v>
      </c>
      <c r="T36" s="407">
        <f>SUM(T5:T35)</f>
        <v>381.32164383561644</v>
      </c>
      <c r="V36" s="879" t="s">
        <v>2894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3023</v>
      </c>
      <c r="T37" s="872">
        <v>386</v>
      </c>
      <c r="V37" s="879" t="s">
        <v>3023</v>
      </c>
      <c r="W37" s="909"/>
      <c r="X37" s="909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2023-09-30T04:06:09Z</dcterms:modified>
</cp:coreProperties>
</file>