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sc\msff\xls\"/>
    </mc:Choice>
  </mc:AlternateContent>
  <xr:revisionPtr revIDLastSave="0" documentId="13_ncr:1_{6D2A9A93-08FE-4F9E-8E86-2B4488CA2D4A}" xr6:coauthVersionLast="38" xr6:coauthVersionMax="38" xr10:uidLastSave="{00000000-0000-0000-0000-000000000000}"/>
  <bookViews>
    <workbookView xWindow="3840" yWindow="0" windowWidth="22230" windowHeight="10905" activeTab="1" xr2:uid="{00000000-000D-0000-FFFF-FFFF00000000}"/>
  </bookViews>
  <sheets>
    <sheet name="NAV Aug12" sheetId="1" r:id="rId1"/>
    <sheet name="NAV24" sheetId="2" r:id="rId2"/>
    <sheet name="scratchpad" sheetId="3" r:id="rId3"/>
  </sheets>
  <calcPr calcId="179021"/>
</workbook>
</file>

<file path=xl/calcChain.xml><?xml version="1.0" encoding="utf-8"?>
<calcChain xmlns="http://schemas.openxmlformats.org/spreadsheetml/2006/main">
  <c r="G32" i="2" l="1"/>
  <c r="G33" i="2" l="1"/>
  <c r="C16" i="2" l="1"/>
  <c r="W39" i="2" l="1"/>
  <c r="G3" i="2"/>
  <c r="G39" i="2" s="1"/>
  <c r="K3" i="2"/>
  <c r="K39" i="2" s="1"/>
  <c r="O3" i="2"/>
  <c r="O39" i="2" s="1"/>
  <c r="R3" i="2"/>
  <c r="R39" i="2" s="1"/>
  <c r="U3" i="2"/>
  <c r="U39" i="2" s="1"/>
  <c r="H39" i="2"/>
  <c r="I39" i="2"/>
  <c r="L39" i="2"/>
  <c r="M39" i="2"/>
  <c r="P39" i="2"/>
  <c r="Q39" i="2"/>
  <c r="S39" i="2"/>
  <c r="T39" i="2"/>
  <c r="V39" i="2"/>
  <c r="X39" i="2"/>
  <c r="H5" i="2" l="1"/>
  <c r="G25" i="2"/>
  <c r="G21" i="2" l="1"/>
  <c r="H10" i="2" l="1"/>
  <c r="X40" i="2" l="1"/>
  <c r="S38" i="2"/>
  <c r="O31" i="2"/>
  <c r="R34" i="2"/>
  <c r="O32" i="2"/>
  <c r="O26" i="2"/>
  <c r="K26" i="2"/>
  <c r="G26" i="2"/>
  <c r="G27" i="2"/>
  <c r="R25" i="2"/>
  <c r="K24" i="2"/>
  <c r="O23" i="2"/>
  <c r="U22" i="2"/>
  <c r="R22" i="2"/>
  <c r="O22" i="2"/>
  <c r="K22" i="2"/>
  <c r="G22" i="2"/>
  <c r="U21" i="2"/>
  <c r="R21" i="2"/>
  <c r="O21" i="2"/>
  <c r="K21" i="2"/>
  <c r="W20" i="2"/>
  <c r="W40" i="2" s="1"/>
  <c r="R20" i="2"/>
  <c r="O20" i="2"/>
  <c r="G20" i="2"/>
  <c r="R19" i="2"/>
  <c r="S18" i="2"/>
  <c r="P18" i="2"/>
  <c r="L18" i="2" s="1"/>
  <c r="H18" i="2" s="1"/>
  <c r="S17" i="2"/>
  <c r="H17" i="2"/>
  <c r="S15" i="2"/>
  <c r="P15" i="2" s="1"/>
  <c r="L15" i="2" s="1"/>
  <c r="H15" i="2" s="1"/>
  <c r="S14" i="2"/>
  <c r="P14" i="2" s="1"/>
  <c r="L14" i="2" s="1"/>
  <c r="H14" i="2" s="1"/>
  <c r="S12" i="2"/>
  <c r="P10" i="2"/>
  <c r="L10" i="2"/>
  <c r="L6" i="2"/>
  <c r="V5" i="2"/>
  <c r="S5" i="2" s="1"/>
  <c r="P5" i="2"/>
  <c r="L5" i="2" s="1"/>
  <c r="S4" i="2"/>
  <c r="F8" i="1"/>
  <c r="F6" i="1"/>
  <c r="F5" i="1"/>
  <c r="G4" i="1"/>
  <c r="F4" i="1"/>
  <c r="F3" i="1"/>
  <c r="F15" i="1" s="1"/>
  <c r="U40" i="2" l="1"/>
  <c r="R40" i="2"/>
  <c r="S40" i="2"/>
  <c r="O19" i="2"/>
  <c r="K19" i="2" s="1"/>
  <c r="G19" i="2" s="1"/>
  <c r="G40" i="2" s="1"/>
  <c r="K40" i="2"/>
  <c r="W44" i="2"/>
  <c r="P4" i="2"/>
  <c r="O40" i="2"/>
  <c r="V40" i="2"/>
  <c r="U44" i="2" s="1"/>
  <c r="R44" i="2" l="1"/>
  <c r="P40" i="2"/>
  <c r="O44" i="2" s="1"/>
  <c r="O43" i="2" s="1"/>
  <c r="L4" i="2"/>
  <c r="L40" i="2" l="1"/>
  <c r="K44" i="2" s="1"/>
  <c r="K43" i="2" s="1"/>
  <c r="H4" i="2"/>
  <c r="H40" i="2" s="1"/>
  <c r="G44" i="2" s="1"/>
  <c r="G43" i="2" l="1"/>
  <c r="K4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Bin TAN</author>
  </authors>
  <commentList>
    <comment ref="E34" authorId="0" shapeId="0" xr:uid="{E40BE15F-8CB0-48AA-9174-CB56718D4371}">
      <text>
        <r>
          <rPr>
            <sz val="9"/>
            <color indexed="81"/>
            <rFont val="Tahoma"/>
            <family val="2"/>
          </rPr>
          <t>from exp recon</t>
        </r>
      </text>
    </comment>
  </commentList>
</comments>
</file>

<file path=xl/sharedStrings.xml><?xml version="1.0" encoding="utf-8"?>
<sst xmlns="http://schemas.openxmlformats.org/spreadsheetml/2006/main" count="246" uniqueCount="120">
  <si>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</si>
  <si>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</si>
  <si>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</si>
  <si>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</si>
  <si>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</si>
  <si>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</si>
  <si>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</si>
  <si>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</si>
  <si>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</si>
  <si>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</si>
  <si>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</si>
  <si>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</si>
  <si>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</si>
  <si>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</si>
  <si>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</si>
  <si>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</si>
  <si>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</si>
  <si>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</si>
  <si>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</si>
  <si>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</si>
  <si>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</si>
  <si>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</si>
  <si>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</si>
  <si>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</si>
  <si>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</si>
  <si>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</si>
  <si>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</si>
  <si>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val</t>
  </si>
  <si>
    <t>exact≜to'000</t>
  </si>
  <si>
    <t>Feb24{bonus</t>
  </si>
  <si>
    <t>Feb23{bonus</t>
  </si>
  <si>
    <t>Feb20{bonus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</si>
  <si>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</si>
  <si>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</si>
  <si>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</si>
  <si>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</si>
  <si>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</si>
  <si>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</si>
  <si>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</si>
  <si>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</si>
  <si>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</si>
  <si>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</si>
  <si>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</si>
  <si>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</si>
  <si>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</si>
  <si>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</si>
  <si>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</si>
  <si>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</si>
  <si>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</si>
  <si>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citi.SG TD</t>
  </si>
  <si>
    <t>Citi.sg+BOC:</t>
  </si>
  <si>
    <t>bank: citi.SG sav</t>
  </si>
  <si>
    <t>grandpa's:</t>
  </si>
  <si>
    <t>46k givens2kids</t>
  </si>
  <si>
    <t>bank: BOC</t>
  </si>
  <si>
    <t>mufu]OC:</t>
  </si>
  <si>
    <t>TRBCX</t>
  </si>
  <si>
    <t>Energy12</t>
  </si>
  <si>
    <t>Robinhood</t>
  </si>
  <si>
    <t xml:space="preserve">rEstate: Bj </t>
  </si>
  <si>
    <t>不稳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</si>
  <si>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</si>
  <si>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</si>
  <si>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</si>
  <si>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</si>
  <si>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</si>
  <si>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</si>
  <si>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</si>
  <si>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Jill:</t>
  </si>
  <si>
    <t>20k write-off</t>
  </si>
  <si>
    <t>momFSM:</t>
  </si>
  <si>
    <t>Poems mufu</t>
  </si>
  <si>
    <t>Pomes dry powder</t>
  </si>
  <si>
    <t>NA</t>
  </si>
  <si>
    <t>.. ccard debt</t>
  </si>
  <si>
    <t>24k gift2kids included</t>
  </si>
  <si>
    <t>JayHu warehouse</t>
  </si>
  <si>
    <t>subtotal by ccy:</t>
  </si>
  <si>
    <t>immutable  snap:</t>
  </si>
  <si>
    <t>⮤ incr: GRR+gift{grandpa</t>
  </si>
  <si>
    <t>⮤ incr: IRS+GRR+46k{grandpa</t>
  </si>
  <si>
    <t>total converted to SGD:</t>
  </si>
  <si>
    <t>excluded: wife's other bank accounts beside #153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</si>
  <si>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</si>
  <si>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</si>
  <si>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</si>
  <si>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grey text means copied from previous snapshot, without validation</t>
  </si>
  <si>
    <t>quick n dirty Jan</t>
  </si>
  <si>
    <t>GS 6 shares</t>
  </si>
  <si>
    <t>TD]khm</t>
  </si>
  <si>
    <t>bank: b@a</t>
  </si>
  <si>
    <t>boy</t>
  </si>
  <si>
    <t>girl</t>
  </si>
  <si>
    <t>RBBT</t>
  </si>
  <si>
    <t>exAUM</t>
  </si>
  <si>
    <t>DBS mufu ex-SRS</t>
  </si>
  <si>
    <t>BOC CNY 69k</t>
  </si>
  <si>
    <t>PHP 940k</t>
  </si>
  <si>
    <t>:P640k</t>
  </si>
  <si>
    <t>total converted to USD #snapshotFX:</t>
  </si>
  <si>
    <t>in S$</t>
  </si>
  <si>
    <t>&lt;scratchpad</t>
  </si>
  <si>
    <t>End Feb25 USD/SGD=</t>
  </si>
  <si>
    <t>GUI</t>
  </si>
  <si>
    <t>locked down 
!! 
Impul
-sive 
!! Sitt duck</t>
  </si>
  <si>
    <t>excluded: assets in China banks</t>
  </si>
  <si>
    <t>TJJ's:</t>
  </si>
  <si>
    <t>SRS #mufu,,</t>
  </si>
  <si>
    <t>bookVal#ex div</t>
  </si>
  <si>
    <t>CDP:</t>
  </si>
  <si>
    <t>cashVal FFS</t>
  </si>
  <si>
    <t>cashVal FLI/FWD</t>
  </si>
  <si>
    <t>GS Roth401k</t>
  </si>
  <si>
    <t>bank: citi.NA</t>
  </si>
  <si>
    <t>存款:153/AUM100k</t>
  </si>
  <si>
    <t>存款: Citi/AUM4k//</t>
  </si>
  <si>
    <t>存款: OC</t>
  </si>
  <si>
    <t>存款 ex Poems</t>
  </si>
  <si>
    <t>moneyLock</t>
  </si>
  <si>
    <t>BookVal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</si>
</sst>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&quot;$&quot;#,##0"/>
    <numFmt numFmtId="165" formatCode="[$USD]\ #,##0"/>
    <numFmt numFmtId="166" formatCode="[$SGD]\ #,##0"/>
    <numFmt numFmtId="167" formatCode="[$SGD]\ #,##0.00"/>
  </numFmts>
  <fonts count="13">
    <font>
      <sz val="10"/>
      <name val="Arial"/>
      <charset val="134"/>
    </font>
    <font>
      <sz val="10"/>
      <color theme="0"/>
      <name val="Arial"/>
      <charset val="134"/>
    </font>
    <font>
      <sz val="10"/>
      <color theme="0" tint="-0.3499862666707357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3743705557422"/>
      <name val="Arial"/>
      <charset val="134"/>
    </font>
    <font>
      <sz val="18"/>
      <name val="Arial"/>
      <charset val="134"/>
    </font>
    <font>
      <sz val="10"/>
      <color theme="0"/>
      <name val="Arial"/>
      <family val="2"/>
    </font>
    <font>
      <sz val="10"/>
      <name val="Arial"/>
      <family val="2"/>
    </font>
    <font>
      <sz val="6"/>
      <color theme="2" tint="-0.249977111117893"/>
      <name val="Arial"/>
      <family val="2"/>
    </font>
    <font>
      <sz val="6"/>
      <name val="Arial"/>
      <family val="2"/>
    </font>
    <font>
      <b/>
      <sz val="10"/>
      <color rgb="FFFF0000"/>
      <name val="Arial"/>
      <family val="2"/>
    </font>
    <font>
      <b/>
      <sz val="10"/>
      <color rgb="FFC00000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/>
    <xf numFmtId="3" fontId="1" fillId="2" borderId="1" xfId="0" applyNumberFormat="1" applyFont="1" applyFill="1" applyBorder="1"/>
    <xf numFmtId="0" fontId="0" fillId="0" borderId="1" xfId="0" applyBorder="1"/>
    <xf numFmtId="3" fontId="2" fillId="0" borderId="1" xfId="0" applyNumberFormat="1" applyFont="1" applyBorder="1"/>
    <xf numFmtId="3" fontId="0" fillId="0" borderId="1" xfId="0" applyNumberFormat="1" applyBorder="1"/>
    <xf numFmtId="164" fontId="2" fillId="0" borderId="1" xfId="0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/>
    <xf numFmtId="3" fontId="3" fillId="0" borderId="1" xfId="0" applyNumberFormat="1" applyFont="1" applyBorder="1"/>
    <xf numFmtId="164" fontId="4" fillId="0" borderId="1" xfId="0" applyNumberFormat="1" applyFont="1" applyBorder="1"/>
    <xf numFmtId="164" fontId="3" fillId="0" borderId="1" xfId="0" applyNumberFormat="1" applyFont="1" applyBorder="1"/>
    <xf numFmtId="3" fontId="4" fillId="0" borderId="1" xfId="0" applyNumberFormat="1" applyFont="1" applyBorder="1"/>
    <xf numFmtId="6" fontId="0" fillId="0" borderId="1" xfId="0" applyNumberFormat="1" applyBorder="1"/>
    <xf numFmtId="167" fontId="0" fillId="0" borderId="0" xfId="0" applyNumberFormat="1" applyAlignment="1">
      <alignment horizontal="left" vertical="top"/>
    </xf>
    <xf numFmtId="3" fontId="7" fillId="0" borderId="1" xfId="0" applyNumberFormat="1" applyFont="1" applyBorder="1" applyAlignment="1">
      <alignment wrapText="1"/>
    </xf>
    <xf numFmtId="0" fontId="7" fillId="0" borderId="1" xfId="0" applyFont="1" applyBorder="1"/>
    <xf numFmtId="0" fontId="0" fillId="0" borderId="1" xfId="0" applyFill="1" applyBorder="1" applyAlignment="1">
      <alignment wrapText="1"/>
    </xf>
    <xf numFmtId="3" fontId="0" fillId="0" borderId="1" xfId="0" applyNumberFormat="1" applyFill="1" applyBorder="1"/>
    <xf numFmtId="0" fontId="7" fillId="0" borderId="1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65" fontId="8" fillId="0" borderId="0" xfId="0" applyNumberFormat="1" applyFont="1" applyAlignment="1">
      <alignment horizontal="center"/>
    </xf>
    <xf numFmtId="3" fontId="8" fillId="0" borderId="0" xfId="0" applyNumberFormat="1" applyFont="1"/>
    <xf numFmtId="164" fontId="8" fillId="0" borderId="0" xfId="0" applyNumberFormat="1" applyFont="1"/>
    <xf numFmtId="0" fontId="7" fillId="0" borderId="1" xfId="0" applyFont="1" applyBorder="1" applyAlignment="1">
      <alignment vertical="center" wrapText="1"/>
    </xf>
    <xf numFmtId="3" fontId="7" fillId="0" borderId="1" xfId="0" applyNumberFormat="1" applyFont="1" applyBorder="1"/>
    <xf numFmtId="0" fontId="0" fillId="0" borderId="1" xfId="0" applyFill="1" applyBorder="1"/>
    <xf numFmtId="0" fontId="0" fillId="0" borderId="0" xfId="0" applyBorder="1"/>
    <xf numFmtId="0" fontId="7" fillId="0" borderId="0" xfId="0" applyFont="1" applyBorder="1" applyAlignment="1">
      <alignment vertical="center" wrapText="1"/>
    </xf>
    <xf numFmtId="164" fontId="6" fillId="2" borderId="1" xfId="0" applyNumberFormat="1" applyFont="1" applyFill="1" applyBorder="1"/>
    <xf numFmtId="166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 vertical="top"/>
    </xf>
    <xf numFmtId="0" fontId="10" fillId="0" borderId="1" xfId="0" applyFont="1" applyFill="1" applyBorder="1"/>
    <xf numFmtId="0" fontId="11" fillId="0" borderId="1" xfId="0" applyFont="1" applyFill="1" applyBorder="1"/>
    <xf numFmtId="0" fontId="7" fillId="0" borderId="0" xfId="0" applyFont="1"/>
    <xf numFmtId="164" fontId="0" fillId="0" borderId="1" xfId="0" applyNumberFormat="1" applyFill="1" applyBorder="1"/>
    <xf numFmtId="0" fontId="0" fillId="0" borderId="1" xfId="0" applyFont="1" applyFill="1" applyBorder="1"/>
    <xf numFmtId="164" fontId="4" fillId="0" borderId="1" xfId="0" applyNumberFormat="1" applyFont="1" applyFill="1" applyBorder="1"/>
    <xf numFmtId="6" fontId="0" fillId="0" borderId="1" xfId="0" applyNumberFormat="1" applyFill="1" applyBorder="1"/>
    <xf numFmtId="0" fontId="7" fillId="0" borderId="1" xfId="0" applyFont="1" applyFill="1" applyBorder="1"/>
    <xf numFmtId="3" fontId="3" fillId="0" borderId="1" xfId="0" applyNumberFormat="1" applyFont="1" applyFill="1" applyBorder="1"/>
    <xf numFmtId="3" fontId="4" fillId="0" borderId="1" xfId="0" applyNumberFormat="1" applyFont="1" applyFill="1" applyBorder="1"/>
    <xf numFmtId="0" fontId="7" fillId="0" borderId="3" xfId="0" applyFont="1" applyBorder="1"/>
    <xf numFmtId="0" fontId="7" fillId="0" borderId="5" xfId="0" applyFont="1" applyBorder="1" applyAlignment="1">
      <alignment horizontal="left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 textRotation="255"/>
    </xf>
    <xf numFmtId="1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66" fontId="0" fillId="0" borderId="0" xfId="0" applyNumberFormat="1" applyAlignment="1">
      <alignment horizontal="center"/>
    </xf>
    <xf numFmtId="17" fontId="6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F58" sqref="F58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1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1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1">
        <f>$H$2*G3</f>
        <v>28000</v>
      </c>
      <c r="G3" s="2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1">
        <f>$H$2*G4</f>
        <v>1428</v>
      </c>
      <c r="G4" s="2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1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1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1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1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1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1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1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1" t="s">
        <v>24</v>
      </c>
    </row>
    <row r="14" spans="2:8">
      <c r="C14" t="s">
        <v>26</v>
      </c>
      <c r="D14" t="s">
        <v>7</v>
      </c>
      <c r="E14" t="s">
        <v>8</v>
      </c>
      <c r="F14" s="1" t="s">
        <v>19</v>
      </c>
    </row>
    <row r="15" spans="2:8">
      <c r="F15" s="1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56"/>
  <sheetViews>
    <sheetView tabSelected="1" topLeftCell="A6" workbookViewId="0">
      <selection activeCell="R27" sqref="R27"/>
    </sheetView>
  </sheetViews>
  <sheetFormatPr defaultColWidth="9" defaultRowHeight="12.75"/>
  <cols>
    <col min="1" max="1" width="0.85546875" customWidth="1"/>
    <col min="2" max="2" width="2.7109375" customWidth="1"/>
    <col min="3" max="3" width="8" customWidth="1"/>
    <col min="4" max="4" width="8.28515625" customWidth="1"/>
    <col min="5" max="5" width="18.85546875" customWidth="1"/>
    <col min="6" max="6" width="5.140625" customWidth="1"/>
    <col min="7" max="7" width="9.140625" bestFit="1" customWidth="1"/>
    <col min="8" max="8" width="7.42578125" customWidth="1"/>
    <col min="9" max="9" width="0.42578125" customWidth="1"/>
    <col min="10" max="10" width="5.85546875" bestFit="1" customWidth="1"/>
    <col min="11" max="11" width="9" style="1" customWidth="1"/>
    <col min="12" max="12" width="8.140625" style="2" customWidth="1"/>
    <col min="13" max="13" width="0.42578125" style="2" customWidth="1"/>
    <col min="14" max="14" width="5.140625" style="2" customWidth="1"/>
    <col min="15" max="15" width="11.140625" style="1" customWidth="1"/>
    <col min="16" max="16" width="9.140625" style="2" customWidth="1"/>
    <col min="17" max="17" width="0.42578125" style="2" customWidth="1"/>
    <col min="18" max="18" width="15.28515625" style="1" customWidth="1"/>
    <col min="19" max="19" width="7.5703125" style="2" customWidth="1"/>
    <col min="20" max="20" width="0.42578125" style="2" customWidth="1"/>
    <col min="21" max="21" width="10.140625" style="1" customWidth="1"/>
    <col min="22" max="22" width="7.5703125" style="2" customWidth="1"/>
    <col min="23" max="23" width="11.28515625" customWidth="1"/>
    <col min="24" max="24" width="7.5703125" customWidth="1"/>
  </cols>
  <sheetData>
    <row r="1" spans="2:24" ht="6" customHeight="1"/>
    <row r="2" spans="2:24">
      <c r="B2" s="3" t="s">
        <v>27</v>
      </c>
      <c r="C2" s="52" t="s">
        <v>28</v>
      </c>
      <c r="D2" s="51"/>
      <c r="E2" s="3"/>
      <c r="F2" s="3"/>
      <c r="G2" s="77" t="s">
        <v>87</v>
      </c>
      <c r="H2" s="68"/>
      <c r="I2" s="3"/>
      <c r="J2" s="3"/>
      <c r="K2" s="67" t="s">
        <v>29</v>
      </c>
      <c r="L2" s="68"/>
      <c r="M2" s="4"/>
      <c r="N2" s="4"/>
      <c r="O2" s="67" t="s">
        <v>30</v>
      </c>
      <c r="P2" s="68"/>
      <c r="Q2" s="4"/>
      <c r="R2" s="67" t="s">
        <v>31</v>
      </c>
      <c r="S2" s="68"/>
      <c r="T2" s="4"/>
      <c r="U2" s="67" t="s">
        <v>32</v>
      </c>
      <c r="V2" s="68"/>
      <c r="W2" s="67">
        <v>42401</v>
      </c>
      <c r="X2" s="68"/>
    </row>
    <row r="3" spans="2:24">
      <c r="B3" s="3" t="s">
        <v>33</v>
      </c>
      <c r="C3" s="3" t="s">
        <v>34</v>
      </c>
      <c r="D3" s="3" t="s">
        <v>35</v>
      </c>
      <c r="E3" s="3"/>
      <c r="F3" s="3" t="s">
        <v>36</v>
      </c>
      <c r="G3" s="5" t="str">
        <f>$W$3</f>
        <v>in S$</v>
      </c>
      <c r="H3" s="6" t="s">
        <v>4</v>
      </c>
      <c r="I3" s="3"/>
      <c r="J3" s="3"/>
      <c r="K3" s="5" t="str">
        <f>$W$3</f>
        <v>in S$</v>
      </c>
      <c r="L3" s="6" t="s">
        <v>4</v>
      </c>
      <c r="M3" s="6"/>
      <c r="N3" s="6"/>
      <c r="O3" s="5" t="str">
        <f>$W$3</f>
        <v>in S$</v>
      </c>
      <c r="P3" s="6" t="s">
        <v>4</v>
      </c>
      <c r="Q3" s="6"/>
      <c r="R3" s="5" t="str">
        <f>$W$3</f>
        <v>in S$</v>
      </c>
      <c r="S3" s="6" t="s">
        <v>4</v>
      </c>
      <c r="T3" s="6"/>
      <c r="U3" s="5" t="str">
        <f>$W$3</f>
        <v>in S$</v>
      </c>
      <c r="V3" s="6" t="s">
        <v>4</v>
      </c>
      <c r="W3" s="48" t="s">
        <v>100</v>
      </c>
      <c r="X3" s="6" t="s">
        <v>4</v>
      </c>
    </row>
    <row r="4" spans="2:24">
      <c r="B4" s="7" t="s">
        <v>37</v>
      </c>
      <c r="C4" s="7" t="s">
        <v>38</v>
      </c>
      <c r="D4" s="7" t="s">
        <v>39</v>
      </c>
      <c r="E4" s="32" t="s">
        <v>112</v>
      </c>
      <c r="F4" s="7" t="s">
        <v>40</v>
      </c>
      <c r="G4" s="7"/>
      <c r="H4" s="8">
        <f t="shared" ref="H4" si="0">L4</f>
        <v>20000</v>
      </c>
      <c r="I4" s="7"/>
      <c r="J4" s="7"/>
      <c r="K4" s="11"/>
      <c r="L4" s="8">
        <f>P4</f>
        <v>20000</v>
      </c>
      <c r="M4" s="8"/>
      <c r="N4" s="9"/>
      <c r="O4" s="11"/>
      <c r="P4" s="25">
        <f>S4</f>
        <v>20000</v>
      </c>
      <c r="Q4" s="9"/>
      <c r="R4" s="11"/>
      <c r="S4" s="28">
        <f>V4</f>
        <v>20000</v>
      </c>
      <c r="T4" s="9"/>
      <c r="U4" s="11"/>
      <c r="V4" s="9">
        <v>20000</v>
      </c>
      <c r="W4" s="7"/>
      <c r="X4" s="9">
        <v>20000</v>
      </c>
    </row>
    <row r="5" spans="2:24">
      <c r="B5" s="7" t="s">
        <v>37</v>
      </c>
      <c r="C5" s="32" t="s">
        <v>42</v>
      </c>
      <c r="D5" s="32" t="s">
        <v>39</v>
      </c>
      <c r="E5" s="32" t="s">
        <v>88</v>
      </c>
      <c r="F5" s="7" t="s">
        <v>40</v>
      </c>
      <c r="G5" s="7"/>
      <c r="H5" s="7">
        <f>600*6</f>
        <v>3600</v>
      </c>
      <c r="I5" s="7"/>
      <c r="J5" s="7"/>
      <c r="K5" s="11"/>
      <c r="L5" s="8">
        <f>P5</f>
        <v>1800</v>
      </c>
      <c r="M5" s="8"/>
      <c r="N5" s="9"/>
      <c r="O5" s="11"/>
      <c r="P5" s="9">
        <f>300*6</f>
        <v>1800</v>
      </c>
      <c r="Q5" s="9"/>
      <c r="R5" s="11"/>
      <c r="S5" s="28">
        <f>V5</f>
        <v>1200</v>
      </c>
      <c r="T5" s="9"/>
      <c r="U5" s="11"/>
      <c r="V5" s="9">
        <f>200*6</f>
        <v>1200</v>
      </c>
      <c r="W5" s="7"/>
      <c r="X5" s="9">
        <v>1020</v>
      </c>
    </row>
    <row r="6" spans="2:24">
      <c r="B6" s="7" t="s">
        <v>41</v>
      </c>
      <c r="C6" s="73" t="s">
        <v>46</v>
      </c>
      <c r="D6" s="32" t="s">
        <v>43</v>
      </c>
      <c r="E6" s="7" t="s">
        <v>44</v>
      </c>
      <c r="F6" s="7" t="s">
        <v>40</v>
      </c>
      <c r="G6" s="7"/>
      <c r="H6" s="9">
        <v>51800</v>
      </c>
      <c r="I6" s="7"/>
      <c r="J6" s="7"/>
      <c r="K6" s="11" t="s">
        <v>45</v>
      </c>
      <c r="L6" s="9">
        <f>1000*(4+2+5+3+7+10+3+5+2+3+1)</f>
        <v>45000</v>
      </c>
      <c r="M6" s="9"/>
      <c r="N6" s="9"/>
      <c r="O6" s="11"/>
      <c r="P6" s="9">
        <v>32000</v>
      </c>
      <c r="Q6" s="9"/>
      <c r="R6" s="11"/>
      <c r="S6" s="9">
        <v>0</v>
      </c>
      <c r="T6" s="9"/>
      <c r="U6" s="11"/>
      <c r="V6" s="9">
        <v>0</v>
      </c>
      <c r="W6" s="7"/>
      <c r="X6" s="7"/>
    </row>
    <row r="7" spans="2:24">
      <c r="B7" s="7" t="s">
        <v>41</v>
      </c>
      <c r="C7" s="74"/>
      <c r="D7" s="32" t="s">
        <v>43</v>
      </c>
      <c r="E7" s="7" t="s">
        <v>47</v>
      </c>
      <c r="F7" s="7" t="s">
        <v>40</v>
      </c>
      <c r="G7" s="7"/>
      <c r="H7" s="7">
        <v>255</v>
      </c>
      <c r="I7" s="7"/>
      <c r="J7" s="7"/>
      <c r="K7" s="11"/>
      <c r="L7" s="9">
        <v>238</v>
      </c>
      <c r="M7" s="9"/>
      <c r="N7" s="9"/>
      <c r="O7" s="11"/>
      <c r="P7" s="9" t="s">
        <v>48</v>
      </c>
      <c r="Q7" s="9"/>
      <c r="R7" s="11"/>
      <c r="S7" s="9">
        <v>564</v>
      </c>
      <c r="T7" s="9"/>
      <c r="U7" s="11"/>
      <c r="V7" s="9">
        <v>6100</v>
      </c>
      <c r="W7" s="7"/>
      <c r="X7" s="7"/>
    </row>
    <row r="8" spans="2:24">
      <c r="B8" s="7" t="s">
        <v>41</v>
      </c>
      <c r="C8" s="74"/>
      <c r="D8" s="32" t="s">
        <v>43</v>
      </c>
      <c r="E8" s="7" t="s">
        <v>90</v>
      </c>
      <c r="F8" s="7" t="s">
        <v>40</v>
      </c>
      <c r="G8" s="7"/>
      <c r="H8" s="7">
        <v>4400</v>
      </c>
      <c r="I8" s="7"/>
      <c r="J8" s="7"/>
      <c r="K8" s="11"/>
      <c r="L8" s="9">
        <v>1500</v>
      </c>
      <c r="M8" s="9"/>
      <c r="N8" s="9"/>
      <c r="O8" s="11"/>
      <c r="P8" s="9">
        <v>1500</v>
      </c>
      <c r="Q8" s="9"/>
      <c r="R8" s="11"/>
      <c r="S8" s="9">
        <v>1642</v>
      </c>
      <c r="T8" s="9"/>
      <c r="U8" s="11"/>
      <c r="V8" s="9">
        <v>1300</v>
      </c>
      <c r="W8" s="7"/>
      <c r="X8" s="7"/>
    </row>
    <row r="9" spans="2:24">
      <c r="B9" s="7" t="s">
        <v>41</v>
      </c>
      <c r="C9" s="74"/>
      <c r="D9" s="32" t="s">
        <v>43</v>
      </c>
      <c r="E9" s="32" t="s">
        <v>113</v>
      </c>
      <c r="F9" s="7" t="s">
        <v>40</v>
      </c>
      <c r="G9" s="7"/>
      <c r="H9" s="7">
        <v>1655</v>
      </c>
      <c r="I9" s="7"/>
      <c r="J9" s="7"/>
      <c r="K9" s="11"/>
      <c r="L9" s="9">
        <v>1500</v>
      </c>
      <c r="M9" s="9"/>
      <c r="N9" s="9"/>
      <c r="O9" s="11"/>
      <c r="P9" s="9">
        <v>1500</v>
      </c>
      <c r="Q9" s="9"/>
      <c r="R9" s="11"/>
      <c r="S9" s="9">
        <v>2031</v>
      </c>
      <c r="T9" s="9"/>
      <c r="U9" s="11"/>
      <c r="V9" s="9">
        <v>107000</v>
      </c>
      <c r="W9" s="7"/>
      <c r="X9" s="9">
        <v>120000</v>
      </c>
    </row>
    <row r="10" spans="2:24">
      <c r="B10" s="7" t="s">
        <v>41</v>
      </c>
      <c r="C10" s="74"/>
      <c r="D10" s="7" t="s">
        <v>43</v>
      </c>
      <c r="E10" s="7" t="s">
        <v>49</v>
      </c>
      <c r="F10" s="7" t="s">
        <v>40</v>
      </c>
      <c r="G10" s="7"/>
      <c r="H10" s="7">
        <f>3700*3</f>
        <v>11100</v>
      </c>
      <c r="I10" s="7"/>
      <c r="J10" s="7"/>
      <c r="K10" s="11"/>
      <c r="L10" s="9">
        <f>6800+3700*7</f>
        <v>32700</v>
      </c>
      <c r="M10" s="9"/>
      <c r="N10" s="55" t="s">
        <v>50</v>
      </c>
      <c r="O10" s="54"/>
      <c r="P10" s="34">
        <f>14300+2000</f>
        <v>16300</v>
      </c>
      <c r="Q10" s="34"/>
      <c r="R10" s="54"/>
      <c r="S10" s="34">
        <v>57781</v>
      </c>
      <c r="T10" s="34"/>
      <c r="U10" s="54"/>
      <c r="V10" s="34"/>
      <c r="W10" s="45"/>
      <c r="X10" s="45"/>
    </row>
    <row r="11" spans="2:24" ht="11.25" customHeight="1">
      <c r="B11" s="7" t="s">
        <v>41</v>
      </c>
      <c r="C11" s="75"/>
      <c r="D11" s="7" t="s">
        <v>43</v>
      </c>
      <c r="E11" s="7" t="s">
        <v>51</v>
      </c>
      <c r="F11" s="7" t="s">
        <v>40</v>
      </c>
      <c r="G11" s="7"/>
      <c r="H11" s="7">
        <v>335</v>
      </c>
      <c r="I11" s="7"/>
      <c r="J11" s="7"/>
      <c r="K11" s="11"/>
      <c r="L11" s="9">
        <v>45</v>
      </c>
      <c r="M11" s="9"/>
      <c r="N11" s="55" t="s">
        <v>52</v>
      </c>
      <c r="O11" s="54"/>
      <c r="P11" s="34" t="s">
        <v>53</v>
      </c>
      <c r="Q11" s="34"/>
      <c r="R11" s="54"/>
      <c r="S11" s="34">
        <v>-46000</v>
      </c>
      <c r="T11" s="34"/>
      <c r="U11" s="54"/>
      <c r="V11" s="34">
        <v>-36000</v>
      </c>
      <c r="W11" s="45"/>
      <c r="X11" s="45"/>
    </row>
    <row r="12" spans="2:24" ht="14.25" customHeight="1">
      <c r="B12" s="7" t="s">
        <v>41</v>
      </c>
      <c r="C12" s="7" t="s">
        <v>103</v>
      </c>
      <c r="D12" s="7" t="s">
        <v>43</v>
      </c>
      <c r="E12" s="32" t="s">
        <v>54</v>
      </c>
      <c r="F12" s="7" t="s">
        <v>40</v>
      </c>
      <c r="G12" s="7"/>
      <c r="H12" s="9">
        <v>180000</v>
      </c>
      <c r="I12" s="7"/>
      <c r="J12" s="7"/>
      <c r="K12" s="11"/>
      <c r="L12" s="9">
        <v>34004</v>
      </c>
      <c r="M12" s="9"/>
      <c r="N12" s="55" t="s">
        <v>55</v>
      </c>
      <c r="O12" s="54"/>
      <c r="P12" s="59">
        <v>5000</v>
      </c>
      <c r="Q12" s="34"/>
      <c r="R12" s="54"/>
      <c r="S12" s="60">
        <f>V12</f>
        <v>5000</v>
      </c>
      <c r="T12" s="34"/>
      <c r="U12" s="54"/>
      <c r="V12" s="34">
        <v>5000</v>
      </c>
      <c r="W12" s="45"/>
      <c r="X12" s="45"/>
    </row>
    <row r="13" spans="2:24" ht="3" customHeight="1">
      <c r="B13" s="7"/>
      <c r="C13" s="7"/>
      <c r="D13" s="7"/>
      <c r="E13" s="12"/>
      <c r="F13" s="13"/>
      <c r="G13" s="14"/>
      <c r="H13" s="13"/>
      <c r="I13" s="13"/>
      <c r="J13" s="33"/>
      <c r="K13" s="54"/>
      <c r="L13" s="34"/>
      <c r="M13" s="34"/>
      <c r="N13" s="34"/>
      <c r="O13" s="54"/>
      <c r="P13" s="34"/>
      <c r="Q13" s="34"/>
      <c r="R13" s="54"/>
      <c r="S13" s="34"/>
      <c r="T13" s="34"/>
      <c r="U13" s="54"/>
      <c r="V13" s="34"/>
      <c r="W13" s="45"/>
      <c r="X13" s="45"/>
    </row>
    <row r="14" spans="2:24">
      <c r="B14" s="7" t="s">
        <v>37</v>
      </c>
      <c r="C14" s="7" t="s">
        <v>119</v>
      </c>
      <c r="D14" s="7" t="s">
        <v>8</v>
      </c>
      <c r="E14" s="7" t="s">
        <v>56</v>
      </c>
      <c r="F14" s="7" t="s">
        <v>40</v>
      </c>
      <c r="G14" s="7"/>
      <c r="H14" s="8">
        <f t="shared" ref="H14:H18" si="1">L14</f>
        <v>2500</v>
      </c>
      <c r="I14" s="7"/>
      <c r="J14" s="7"/>
      <c r="K14" s="11"/>
      <c r="L14" s="8">
        <f>P14</f>
        <v>2500</v>
      </c>
      <c r="M14" s="8"/>
      <c r="N14" s="9"/>
      <c r="O14" s="11"/>
      <c r="P14" s="25">
        <f>S14</f>
        <v>2500</v>
      </c>
      <c r="Q14" s="9"/>
      <c r="R14" s="11"/>
      <c r="S14" s="28">
        <f>V14</f>
        <v>2500</v>
      </c>
      <c r="T14" s="9"/>
      <c r="U14" s="11"/>
      <c r="V14" s="9">
        <v>2500</v>
      </c>
      <c r="W14" s="7"/>
      <c r="X14" s="7"/>
    </row>
    <row r="15" spans="2:24">
      <c r="B15" s="7" t="s">
        <v>37</v>
      </c>
      <c r="C15" s="7" t="s">
        <v>119</v>
      </c>
      <c r="D15" s="7" t="s">
        <v>39</v>
      </c>
      <c r="E15" s="7" t="s">
        <v>57</v>
      </c>
      <c r="F15" s="7" t="s">
        <v>40</v>
      </c>
      <c r="G15" s="7"/>
      <c r="H15" s="8">
        <f t="shared" si="1"/>
        <v>5000</v>
      </c>
      <c r="I15" s="7"/>
      <c r="J15" s="7"/>
      <c r="K15" s="11"/>
      <c r="L15" s="8">
        <f>P15</f>
        <v>5000</v>
      </c>
      <c r="M15" s="8"/>
      <c r="N15" s="9"/>
      <c r="O15" s="11"/>
      <c r="P15" s="25">
        <f>S15</f>
        <v>5000</v>
      </c>
      <c r="Q15" s="9"/>
      <c r="R15" s="11"/>
      <c r="S15" s="28">
        <f>V15</f>
        <v>5000</v>
      </c>
      <c r="T15" s="9"/>
      <c r="U15" s="11"/>
      <c r="V15" s="9">
        <v>5000</v>
      </c>
      <c r="W15" s="7"/>
      <c r="X15" s="7"/>
    </row>
    <row r="16" spans="2:24">
      <c r="B16" s="7" t="s">
        <v>37</v>
      </c>
      <c r="C16" s="7" t="str">
        <f>C26</f>
        <v>bookVal#ex div</v>
      </c>
      <c r="D16" s="7" t="s">
        <v>43</v>
      </c>
      <c r="E16" s="7" t="s">
        <v>58</v>
      </c>
      <c r="F16" s="7" t="s">
        <v>40</v>
      </c>
      <c r="G16" s="7"/>
      <c r="H16" s="9">
        <v>8100</v>
      </c>
      <c r="I16" s="7"/>
      <c r="J16" s="7"/>
      <c r="K16" s="11"/>
      <c r="L16" s="9">
        <v>9800</v>
      </c>
      <c r="M16" s="9"/>
      <c r="N16" s="9"/>
      <c r="O16" s="11"/>
      <c r="P16" s="9">
        <v>13400</v>
      </c>
      <c r="Q16" s="9"/>
      <c r="R16" s="11"/>
      <c r="S16" s="9">
        <v>1300</v>
      </c>
      <c r="T16" s="9"/>
      <c r="U16" s="11"/>
      <c r="V16" s="9">
        <v>900</v>
      </c>
      <c r="W16" s="7"/>
      <c r="X16" s="7"/>
    </row>
    <row r="17" spans="2:24" ht="13.15" customHeight="1">
      <c r="B17" s="7" t="s">
        <v>41</v>
      </c>
      <c r="C17" s="7" t="s">
        <v>119</v>
      </c>
      <c r="D17" s="70" t="s">
        <v>104</v>
      </c>
      <c r="E17" s="7" t="s">
        <v>59</v>
      </c>
      <c r="F17" s="7" t="s">
        <v>40</v>
      </c>
      <c r="G17" s="7"/>
      <c r="H17" s="44">
        <f>L17*40%</f>
        <v>36000</v>
      </c>
      <c r="I17" s="7"/>
      <c r="J17" s="7"/>
      <c r="K17" s="11"/>
      <c r="L17" s="9">
        <v>90000</v>
      </c>
      <c r="M17" s="8"/>
      <c r="N17" s="9"/>
      <c r="O17" s="11"/>
      <c r="P17" s="9">
        <v>90000</v>
      </c>
      <c r="Q17" s="9"/>
      <c r="R17" s="11"/>
      <c r="S17" s="28">
        <f>V17</f>
        <v>90000</v>
      </c>
      <c r="T17" s="9"/>
      <c r="U17" s="11"/>
      <c r="V17" s="9">
        <v>90000</v>
      </c>
      <c r="W17" s="7"/>
      <c r="X17" s="9">
        <v>90000</v>
      </c>
    </row>
    <row r="18" spans="2:24">
      <c r="B18" s="65" t="s">
        <v>60</v>
      </c>
      <c r="C18" s="7" t="s">
        <v>119</v>
      </c>
      <c r="D18" s="71"/>
      <c r="E18" s="7" t="s">
        <v>61</v>
      </c>
      <c r="F18" s="7" t="s">
        <v>40</v>
      </c>
      <c r="G18" s="7"/>
      <c r="H18" s="8">
        <f t="shared" si="1"/>
        <v>439000</v>
      </c>
      <c r="I18" s="7"/>
      <c r="J18" s="7"/>
      <c r="K18" s="11"/>
      <c r="L18" s="8">
        <f>P18</f>
        <v>439000</v>
      </c>
      <c r="M18" s="8"/>
      <c r="N18" s="9"/>
      <c r="O18" s="11"/>
      <c r="P18" s="9">
        <f>V18+169000</f>
        <v>439000</v>
      </c>
      <c r="Q18" s="9"/>
      <c r="R18" s="11"/>
      <c r="S18" s="9">
        <f>V18+169000*40%</f>
        <v>337600</v>
      </c>
      <c r="T18" s="9"/>
      <c r="U18" s="11"/>
      <c r="V18" s="9">
        <v>270000</v>
      </c>
      <c r="W18" s="7"/>
      <c r="X18" s="7"/>
    </row>
    <row r="19" spans="2:24">
      <c r="B19" s="66"/>
      <c r="C19" s="7" t="s">
        <v>119</v>
      </c>
      <c r="D19" s="71"/>
      <c r="E19" s="7" t="s">
        <v>62</v>
      </c>
      <c r="F19" s="7" t="s">
        <v>40</v>
      </c>
      <c r="G19" s="8">
        <f>K19</f>
        <v>200000</v>
      </c>
      <c r="H19" s="7"/>
      <c r="I19" s="7"/>
      <c r="J19" s="7"/>
      <c r="K19" s="10">
        <f>O19</f>
        <v>200000</v>
      </c>
      <c r="L19" s="26"/>
      <c r="M19" s="26"/>
      <c r="N19" s="9"/>
      <c r="O19" s="26">
        <f>R19</f>
        <v>200000</v>
      </c>
      <c r="P19" s="9"/>
      <c r="Q19" s="9"/>
      <c r="R19" s="26">
        <f>U19</f>
        <v>200000</v>
      </c>
      <c r="S19" s="9"/>
      <c r="T19" s="9"/>
      <c r="U19" s="11">
        <v>200000</v>
      </c>
      <c r="V19" s="9"/>
      <c r="W19" s="9">
        <v>105000</v>
      </c>
      <c r="X19" s="7"/>
    </row>
    <row r="20" spans="2:24">
      <c r="B20" s="7" t="s">
        <v>41</v>
      </c>
      <c r="C20" s="7" t="s">
        <v>119</v>
      </c>
      <c r="D20" s="71"/>
      <c r="E20" s="7" t="s">
        <v>63</v>
      </c>
      <c r="F20" s="7" t="s">
        <v>11</v>
      </c>
      <c r="G20" s="8">
        <f>K20</f>
        <v>750000</v>
      </c>
      <c r="H20" s="7"/>
      <c r="I20" s="7"/>
      <c r="J20" s="7"/>
      <c r="K20" s="11">
        <v>750000</v>
      </c>
      <c r="L20" s="9"/>
      <c r="M20" s="9"/>
      <c r="N20" s="9"/>
      <c r="O20" s="11">
        <f>750000-415000</f>
        <v>335000</v>
      </c>
      <c r="P20" s="9"/>
      <c r="Q20" s="9"/>
      <c r="R20" s="26">
        <f>U20</f>
        <v>600000</v>
      </c>
      <c r="S20" s="9"/>
      <c r="T20" s="9"/>
      <c r="U20" s="11">
        <v>600000</v>
      </c>
      <c r="V20" s="9"/>
      <c r="W20" s="11">
        <f>600000-154000</f>
        <v>446000</v>
      </c>
      <c r="X20" s="7"/>
    </row>
    <row r="21" spans="2:24">
      <c r="B21" s="7" t="s">
        <v>41</v>
      </c>
      <c r="C21" s="7" t="s">
        <v>46</v>
      </c>
      <c r="D21" s="71"/>
      <c r="E21" s="7" t="s">
        <v>64</v>
      </c>
      <c r="F21" s="7" t="s">
        <v>65</v>
      </c>
      <c r="G21" s="9">
        <f>2700+75000+15800</f>
        <v>93500</v>
      </c>
      <c r="H21" s="7"/>
      <c r="I21" s="7"/>
      <c r="J21" s="7"/>
      <c r="K21" s="11">
        <f>0+27000+15000</f>
        <v>42000</v>
      </c>
      <c r="L21" s="9"/>
      <c r="M21" s="9"/>
      <c r="N21" s="9"/>
      <c r="O21" s="11">
        <f>1000+18000+15000</f>
        <v>34000</v>
      </c>
      <c r="P21" s="9"/>
      <c r="Q21" s="9"/>
      <c r="R21" s="11">
        <f>37303+14272+15932</f>
        <v>67507</v>
      </c>
      <c r="S21" s="9"/>
      <c r="T21" s="9"/>
      <c r="U21" s="11">
        <f>(35+13+14)*1000</f>
        <v>62000</v>
      </c>
      <c r="V21" s="9"/>
      <c r="W21" s="29">
        <v>5000</v>
      </c>
      <c r="X21" s="7"/>
    </row>
    <row r="22" spans="2:24">
      <c r="B22" s="7" t="s">
        <v>41</v>
      </c>
      <c r="C22" s="7" t="s">
        <v>38</v>
      </c>
      <c r="D22" s="71"/>
      <c r="E22" s="7" t="s">
        <v>66</v>
      </c>
      <c r="F22" s="7" t="s">
        <v>40</v>
      </c>
      <c r="G22" s="9">
        <f>240000+71000</f>
        <v>311000</v>
      </c>
      <c r="H22" s="7"/>
      <c r="I22" s="7"/>
      <c r="J22" s="7"/>
      <c r="K22" s="11">
        <f>221400+71000</f>
        <v>292400</v>
      </c>
      <c r="L22" s="9"/>
      <c r="M22" s="9"/>
      <c r="N22" s="9"/>
      <c r="O22" s="11">
        <f>205000+68000</f>
        <v>273000</v>
      </c>
      <c r="P22" s="9"/>
      <c r="Q22" s="9"/>
      <c r="R22" s="11">
        <f>57247+54415</f>
        <v>111662</v>
      </c>
      <c r="S22" s="9"/>
      <c r="T22" s="9"/>
      <c r="U22" s="11">
        <f>51797+50452</f>
        <v>102249</v>
      </c>
      <c r="V22" s="9"/>
      <c r="W22" s="11">
        <v>78000</v>
      </c>
      <c r="X22" s="7"/>
    </row>
    <row r="23" spans="2:24">
      <c r="B23" s="7" t="s">
        <v>41</v>
      </c>
      <c r="C23" s="7" t="s">
        <v>46</v>
      </c>
      <c r="D23" s="71"/>
      <c r="E23" s="7" t="s">
        <v>67</v>
      </c>
      <c r="F23" s="7" t="s">
        <v>40</v>
      </c>
      <c r="G23" s="9">
        <v>44000</v>
      </c>
      <c r="H23" s="7"/>
      <c r="I23" s="7"/>
      <c r="J23" s="7"/>
      <c r="K23" s="11">
        <v>24600</v>
      </c>
      <c r="L23" s="9"/>
      <c r="M23" s="9"/>
      <c r="N23" s="9"/>
      <c r="O23" s="11">
        <f>(113000+20000)+8000</f>
        <v>141000</v>
      </c>
      <c r="P23" s="9"/>
      <c r="Q23" s="9"/>
      <c r="R23" s="11">
        <v>24201</v>
      </c>
      <c r="S23" s="9"/>
      <c r="T23" s="9"/>
      <c r="U23" s="11">
        <v>17000</v>
      </c>
      <c r="V23" s="9"/>
      <c r="W23" s="29">
        <v>142000</v>
      </c>
      <c r="X23" s="7"/>
    </row>
    <row r="24" spans="2:24">
      <c r="B24" s="7" t="s">
        <v>37</v>
      </c>
      <c r="C24" s="7" t="s">
        <v>38</v>
      </c>
      <c r="D24" s="71"/>
      <c r="E24" s="32" t="s">
        <v>110</v>
      </c>
      <c r="F24" s="7" t="s">
        <v>65</v>
      </c>
      <c r="G24" s="9">
        <v>14000</v>
      </c>
      <c r="H24" s="7"/>
      <c r="I24" s="7"/>
      <c r="J24" s="7"/>
      <c r="K24" s="27">
        <f>O24</f>
        <v>5000</v>
      </c>
      <c r="L24" s="9"/>
      <c r="M24" s="9"/>
      <c r="N24" s="9"/>
      <c r="O24" s="27">
        <v>5000</v>
      </c>
      <c r="P24" s="9"/>
      <c r="Q24" s="9"/>
      <c r="R24" s="26">
        <v>5000</v>
      </c>
      <c r="S24" s="9"/>
      <c r="T24" s="9"/>
      <c r="U24" s="11">
        <v>5000</v>
      </c>
      <c r="V24" s="9"/>
      <c r="W24" s="7"/>
      <c r="X24" s="7"/>
    </row>
    <row r="25" spans="2:24">
      <c r="B25" s="7" t="s">
        <v>41</v>
      </c>
      <c r="C25" s="7" t="s">
        <v>119</v>
      </c>
      <c r="D25" s="71"/>
      <c r="E25" s="61" t="s">
        <v>111</v>
      </c>
      <c r="F25" s="7" t="s">
        <v>40</v>
      </c>
      <c r="G25" s="9">
        <f>(300000-228000)+(50065*2)+(250774-190000)</f>
        <v>232904</v>
      </c>
      <c r="H25" s="7"/>
      <c r="I25" s="7"/>
      <c r="J25" s="45"/>
      <c r="K25" s="54">
        <v>50065</v>
      </c>
      <c r="L25" s="34"/>
      <c r="M25" s="34"/>
      <c r="N25" s="55" t="s">
        <v>68</v>
      </c>
      <c r="O25" s="54" t="s">
        <v>69</v>
      </c>
      <c r="P25" s="34"/>
      <c r="Q25" s="34"/>
      <c r="R25" s="56">
        <f>U25</f>
        <v>20000</v>
      </c>
      <c r="S25" s="34"/>
      <c r="T25" s="34"/>
      <c r="U25" s="54">
        <v>20000</v>
      </c>
      <c r="V25" s="34"/>
      <c r="W25" s="54">
        <v>30000</v>
      </c>
      <c r="X25" s="45"/>
    </row>
    <row r="26" spans="2:24">
      <c r="B26" s="7" t="s">
        <v>37</v>
      </c>
      <c r="C26" s="7" t="s">
        <v>108</v>
      </c>
      <c r="D26" s="72"/>
      <c r="E26" s="7" t="s">
        <v>107</v>
      </c>
      <c r="F26" s="7" t="s">
        <v>11</v>
      </c>
      <c r="G26" s="9">
        <f>15000*5</f>
        <v>75000</v>
      </c>
      <c r="H26" s="7"/>
      <c r="I26" s="7"/>
      <c r="J26" s="45"/>
      <c r="K26" s="54">
        <f>15000*4</f>
        <v>60000</v>
      </c>
      <c r="L26" s="34"/>
      <c r="M26" s="34"/>
      <c r="N26" s="34"/>
      <c r="O26" s="54">
        <f>15000*3</f>
        <v>45000</v>
      </c>
      <c r="P26" s="34"/>
      <c r="Q26" s="34"/>
      <c r="R26" s="56">
        <v>0</v>
      </c>
      <c r="S26" s="34"/>
      <c r="T26" s="34"/>
      <c r="U26" s="54">
        <v>0</v>
      </c>
      <c r="V26" s="34"/>
      <c r="W26" s="45"/>
      <c r="X26" s="45"/>
    </row>
    <row r="27" spans="2:24">
      <c r="B27" s="7" t="s">
        <v>37</v>
      </c>
      <c r="C27" s="32" t="s">
        <v>42</v>
      </c>
      <c r="D27" s="7" t="s">
        <v>8</v>
      </c>
      <c r="E27" s="32" t="s">
        <v>95</v>
      </c>
      <c r="F27" s="7" t="s">
        <v>40</v>
      </c>
      <c r="G27" s="8">
        <f>K27</f>
        <v>1234</v>
      </c>
      <c r="H27" s="7"/>
      <c r="I27" s="7"/>
      <c r="J27" s="45"/>
      <c r="K27" s="54">
        <v>1234</v>
      </c>
      <c r="L27" s="34"/>
      <c r="M27" s="34"/>
      <c r="N27" s="55" t="s">
        <v>70</v>
      </c>
      <c r="O27" s="54">
        <v>1000</v>
      </c>
      <c r="P27" s="34"/>
      <c r="Q27" s="34"/>
      <c r="R27" s="54">
        <v>92574</v>
      </c>
      <c r="S27" s="34"/>
      <c r="T27" s="34"/>
      <c r="U27" s="54">
        <v>102000</v>
      </c>
      <c r="V27" s="34"/>
      <c r="W27" s="57">
        <v>55000</v>
      </c>
      <c r="X27" s="45"/>
    </row>
    <row r="28" spans="2:24">
      <c r="B28" s="7" t="s">
        <v>37</v>
      </c>
      <c r="C28" s="32" t="s">
        <v>42</v>
      </c>
      <c r="D28" s="7" t="s">
        <v>8</v>
      </c>
      <c r="E28" s="7" t="s">
        <v>71</v>
      </c>
      <c r="F28" s="7" t="s">
        <v>40</v>
      </c>
      <c r="G28" s="9">
        <v>22000</v>
      </c>
      <c r="H28" s="7"/>
      <c r="I28" s="7"/>
      <c r="J28" s="45"/>
      <c r="K28" s="54">
        <v>36140</v>
      </c>
      <c r="L28" s="34"/>
      <c r="M28" s="34"/>
      <c r="N28" s="34"/>
      <c r="O28" s="54">
        <v>40000</v>
      </c>
      <c r="P28" s="34"/>
      <c r="Q28" s="34"/>
      <c r="R28" s="54">
        <v>27907</v>
      </c>
      <c r="S28" s="34"/>
      <c r="T28" s="34"/>
      <c r="U28" s="54">
        <v>6000</v>
      </c>
      <c r="V28" s="34"/>
      <c r="W28" s="57">
        <v>155000</v>
      </c>
      <c r="X28" s="45"/>
    </row>
    <row r="29" spans="2:24">
      <c r="B29" s="7" t="s">
        <v>41</v>
      </c>
      <c r="C29" s="7" t="s">
        <v>46</v>
      </c>
      <c r="D29" s="7" t="s">
        <v>43</v>
      </c>
      <c r="E29" s="7" t="s">
        <v>72</v>
      </c>
      <c r="F29" s="7" t="s">
        <v>40</v>
      </c>
      <c r="G29" s="9">
        <v>2000</v>
      </c>
      <c r="H29" s="7"/>
      <c r="I29" s="7"/>
      <c r="J29" s="45"/>
      <c r="K29" s="54">
        <v>1000</v>
      </c>
      <c r="L29" s="34"/>
      <c r="M29" s="34"/>
      <c r="N29" s="34"/>
      <c r="O29" s="54">
        <v>2000</v>
      </c>
      <c r="P29" s="34"/>
      <c r="Q29" s="34"/>
      <c r="R29" s="54">
        <v>28176</v>
      </c>
      <c r="S29" s="34"/>
      <c r="T29" s="34"/>
      <c r="U29" s="54">
        <v>20000</v>
      </c>
      <c r="V29" s="34"/>
      <c r="W29" s="45"/>
      <c r="X29" s="45"/>
    </row>
    <row r="30" spans="2:24" ht="3" customHeight="1">
      <c r="B30" s="7"/>
      <c r="C30" s="7"/>
      <c r="D30" s="7"/>
      <c r="E30" s="12"/>
      <c r="F30" s="13"/>
      <c r="G30" s="14"/>
      <c r="H30" s="13"/>
      <c r="I30" s="13"/>
      <c r="J30" s="33"/>
      <c r="K30" s="54"/>
      <c r="L30" s="34"/>
      <c r="M30" s="34"/>
      <c r="N30" s="34"/>
      <c r="O30" s="54"/>
      <c r="P30" s="34"/>
      <c r="Q30" s="34"/>
      <c r="R30" s="54"/>
      <c r="S30" s="34"/>
      <c r="T30" s="34"/>
      <c r="U30" s="54"/>
      <c r="V30" s="34"/>
      <c r="W30" s="45"/>
      <c r="X30" s="45"/>
    </row>
    <row r="31" spans="2:24">
      <c r="B31" s="7" t="s">
        <v>41</v>
      </c>
      <c r="C31" s="73" t="s">
        <v>46</v>
      </c>
      <c r="D31" s="63" t="s">
        <v>43</v>
      </c>
      <c r="E31" s="43" t="s">
        <v>116</v>
      </c>
      <c r="F31" s="35" t="s">
        <v>92</v>
      </c>
      <c r="G31" s="31">
        <v>2300</v>
      </c>
      <c r="H31" s="13"/>
      <c r="I31" s="13"/>
      <c r="J31" s="33" t="s">
        <v>93</v>
      </c>
      <c r="K31" s="54">
        <v>-200970</v>
      </c>
      <c r="L31" s="34"/>
      <c r="M31" s="34"/>
      <c r="N31" s="34"/>
      <c r="O31" s="54">
        <f>-140000</f>
        <v>-140000</v>
      </c>
      <c r="P31" s="34"/>
      <c r="Q31" s="34"/>
      <c r="R31" s="54"/>
      <c r="S31" s="34"/>
      <c r="T31" s="34"/>
      <c r="U31" s="54"/>
      <c r="V31" s="34"/>
      <c r="W31" s="45"/>
      <c r="X31" s="45"/>
    </row>
    <row r="32" spans="2:24">
      <c r="B32" s="7" t="s">
        <v>41</v>
      </c>
      <c r="C32" s="74"/>
      <c r="D32" s="63" t="s">
        <v>43</v>
      </c>
      <c r="E32" s="36" t="s">
        <v>115</v>
      </c>
      <c r="F32" s="35" t="s">
        <v>91</v>
      </c>
      <c r="G32" s="31">
        <f>745+1065+4000</f>
        <v>5810</v>
      </c>
      <c r="H32" s="7"/>
      <c r="I32" s="7"/>
      <c r="J32" s="45" t="s">
        <v>109</v>
      </c>
      <c r="K32" s="54">
        <v>285000</v>
      </c>
      <c r="L32" s="34"/>
      <c r="M32" s="34"/>
      <c r="N32" s="34"/>
      <c r="O32" s="54">
        <f>176000</f>
        <v>176000</v>
      </c>
      <c r="P32" s="34"/>
      <c r="Q32" s="34"/>
      <c r="R32" s="56"/>
      <c r="S32" s="34"/>
      <c r="T32" s="34"/>
      <c r="U32" s="54"/>
      <c r="V32" s="34"/>
      <c r="W32" s="45"/>
      <c r="X32" s="45"/>
    </row>
    <row r="33" spans="2:24">
      <c r="B33" s="7" t="s">
        <v>41</v>
      </c>
      <c r="C33" s="74"/>
      <c r="D33" s="63" t="s">
        <v>43</v>
      </c>
      <c r="E33" s="43" t="s">
        <v>114</v>
      </c>
      <c r="F33" s="32" t="s">
        <v>65</v>
      </c>
      <c r="G33" s="9">
        <f>6000+100000</f>
        <v>106000</v>
      </c>
      <c r="H33" s="7"/>
      <c r="I33" s="7"/>
      <c r="J33" s="58" t="s">
        <v>94</v>
      </c>
      <c r="K33" s="54">
        <v>10017</v>
      </c>
      <c r="L33" s="34"/>
      <c r="M33" s="34"/>
      <c r="N33" s="34"/>
      <c r="O33" s="54">
        <v>9000</v>
      </c>
      <c r="P33" s="34"/>
      <c r="Q33" s="34"/>
      <c r="R33" s="54">
        <v>20000</v>
      </c>
      <c r="S33" s="34"/>
      <c r="T33" s="34"/>
      <c r="U33" s="54"/>
      <c r="V33" s="34"/>
      <c r="W33" s="45"/>
      <c r="X33" s="45"/>
    </row>
    <row r="34" spans="2:24" ht="12.75" customHeight="1">
      <c r="B34" s="7" t="s">
        <v>41</v>
      </c>
      <c r="C34" s="75"/>
      <c r="D34" s="64" t="s">
        <v>118</v>
      </c>
      <c r="E34" s="62" t="s">
        <v>117</v>
      </c>
      <c r="F34" s="13" t="s">
        <v>40</v>
      </c>
      <c r="G34" s="14">
        <v>304000</v>
      </c>
      <c r="H34" s="13"/>
      <c r="I34" s="13"/>
      <c r="J34" s="33"/>
      <c r="K34" s="54">
        <v>385000</v>
      </c>
      <c r="L34" s="34"/>
      <c r="M34" s="34"/>
      <c r="N34" s="34"/>
      <c r="O34" s="54">
        <v>598000</v>
      </c>
      <c r="P34" s="34"/>
      <c r="Q34" s="34"/>
      <c r="R34" s="54">
        <f>27564</f>
        <v>27564</v>
      </c>
      <c r="S34" s="34"/>
      <c r="T34" s="34"/>
      <c r="U34" s="54">
        <v>20000</v>
      </c>
      <c r="V34" s="34"/>
      <c r="W34" s="57">
        <v>20000</v>
      </c>
      <c r="X34" s="45"/>
    </row>
    <row r="35" spans="2:24">
      <c r="B35" s="7" t="s">
        <v>41</v>
      </c>
      <c r="C35" s="7" t="s">
        <v>38</v>
      </c>
      <c r="D35" s="7" t="s">
        <v>73</v>
      </c>
      <c r="E35" s="12" t="s">
        <v>74</v>
      </c>
      <c r="F35" s="13" t="s">
        <v>40</v>
      </c>
      <c r="G35" s="14">
        <v>-7000</v>
      </c>
      <c r="H35" s="13"/>
      <c r="I35" s="13"/>
      <c r="J35" s="33"/>
      <c r="K35" s="54">
        <v>-600</v>
      </c>
      <c r="L35" s="34"/>
      <c r="M35" s="34"/>
      <c r="N35" s="34"/>
      <c r="O35" s="54">
        <v>0</v>
      </c>
      <c r="P35" s="34"/>
      <c r="Q35" s="34"/>
      <c r="R35" s="54">
        <v>0</v>
      </c>
      <c r="S35" s="34"/>
      <c r="T35" s="34"/>
      <c r="U35" s="54">
        <v>0</v>
      </c>
      <c r="V35" s="34"/>
      <c r="W35" s="45"/>
      <c r="X35" s="45"/>
    </row>
    <row r="36" spans="2:24" ht="3" customHeight="1">
      <c r="B36" s="7"/>
      <c r="C36" s="7"/>
      <c r="D36" s="7"/>
      <c r="E36" s="12"/>
      <c r="F36" s="13"/>
      <c r="G36" s="14"/>
      <c r="H36" s="13"/>
      <c r="I36" s="13"/>
      <c r="J36" s="33"/>
      <c r="K36" s="54"/>
      <c r="L36" s="34"/>
      <c r="M36" s="34"/>
      <c r="N36" s="34"/>
      <c r="O36" s="54"/>
      <c r="P36" s="34"/>
      <c r="Q36" s="34"/>
      <c r="R36" s="54"/>
      <c r="S36" s="34"/>
      <c r="T36" s="34"/>
      <c r="U36" s="54"/>
      <c r="V36" s="34"/>
      <c r="W36" s="45"/>
      <c r="X36" s="45"/>
    </row>
    <row r="37" spans="2:24">
      <c r="B37" s="7" t="s">
        <v>37</v>
      </c>
      <c r="C37" s="32" t="s">
        <v>103</v>
      </c>
      <c r="D37" s="7" t="s">
        <v>8</v>
      </c>
      <c r="E37" s="32" t="s">
        <v>96</v>
      </c>
      <c r="F37" s="7" t="s">
        <v>11</v>
      </c>
      <c r="G37" s="9">
        <v>13000</v>
      </c>
      <c r="H37" s="7"/>
      <c r="I37" s="7"/>
      <c r="J37" s="45"/>
      <c r="K37" s="54">
        <v>1600</v>
      </c>
      <c r="L37" s="34"/>
      <c r="M37" s="34"/>
      <c r="N37" s="58" t="s">
        <v>106</v>
      </c>
      <c r="O37" s="54" t="s">
        <v>75</v>
      </c>
      <c r="P37" s="34"/>
      <c r="Q37" s="34"/>
      <c r="R37" s="54">
        <v>-30000</v>
      </c>
      <c r="S37" s="34"/>
      <c r="T37" s="34"/>
      <c r="U37" s="54">
        <v>-40000</v>
      </c>
      <c r="V37" s="34"/>
      <c r="W37" s="54">
        <v>-30000</v>
      </c>
      <c r="X37" s="45"/>
    </row>
    <row r="38" spans="2:24">
      <c r="B38" s="7" t="s">
        <v>37</v>
      </c>
      <c r="C38" s="7" t="s">
        <v>38</v>
      </c>
      <c r="D38" s="7" t="s">
        <v>8</v>
      </c>
      <c r="E38" s="43" t="s">
        <v>97</v>
      </c>
      <c r="F38" s="7" t="s">
        <v>40</v>
      </c>
      <c r="G38" s="9">
        <v>22000</v>
      </c>
      <c r="H38" s="7"/>
      <c r="I38" s="7"/>
      <c r="J38" s="45"/>
      <c r="K38" s="54">
        <v>20000</v>
      </c>
      <c r="L38" s="34"/>
      <c r="M38" s="34"/>
      <c r="N38" s="34"/>
      <c r="O38" s="54">
        <v>16000</v>
      </c>
      <c r="P38" s="34" t="s">
        <v>98</v>
      </c>
      <c r="Q38" s="45" t="s">
        <v>76</v>
      </c>
      <c r="R38" s="54"/>
      <c r="S38" s="34">
        <f>V38</f>
        <v>20000</v>
      </c>
      <c r="T38" s="45"/>
      <c r="U38" s="54"/>
      <c r="V38" s="34">
        <v>20000</v>
      </c>
      <c r="W38" s="45"/>
      <c r="X38" s="45"/>
    </row>
    <row r="39" spans="2:24">
      <c r="B39" s="46"/>
      <c r="C39" s="46"/>
      <c r="D39" s="46"/>
      <c r="E39" s="47"/>
      <c r="F39" s="46"/>
      <c r="G39" s="5" t="str">
        <f>G3</f>
        <v>in S$</v>
      </c>
      <c r="H39" s="5" t="str">
        <f t="shared" ref="H39:X39" si="2">H3</f>
        <v>in USD</v>
      </c>
      <c r="I39" s="5">
        <f t="shared" si="2"/>
        <v>0</v>
      </c>
      <c r="J39" s="5"/>
      <c r="K39" s="5" t="str">
        <f t="shared" si="2"/>
        <v>in S$</v>
      </c>
      <c r="L39" s="5" t="str">
        <f t="shared" si="2"/>
        <v>in USD</v>
      </c>
      <c r="M39" s="5">
        <f t="shared" si="2"/>
        <v>0</v>
      </c>
      <c r="N39" s="5"/>
      <c r="O39" s="5" t="str">
        <f t="shared" si="2"/>
        <v>in S$</v>
      </c>
      <c r="P39" s="5" t="str">
        <f t="shared" si="2"/>
        <v>in USD</v>
      </c>
      <c r="Q39" s="5">
        <f t="shared" si="2"/>
        <v>0</v>
      </c>
      <c r="R39" s="5" t="str">
        <f t="shared" si="2"/>
        <v>in S$</v>
      </c>
      <c r="S39" s="5" t="str">
        <f t="shared" si="2"/>
        <v>in USD</v>
      </c>
      <c r="T39" s="5">
        <f t="shared" si="2"/>
        <v>0</v>
      </c>
      <c r="U39" s="5" t="str">
        <f t="shared" si="2"/>
        <v>in S$</v>
      </c>
      <c r="V39" s="5" t="str">
        <f t="shared" si="2"/>
        <v>in USD</v>
      </c>
      <c r="W39" s="5" t="str">
        <f>W3</f>
        <v>in S$</v>
      </c>
      <c r="X39" s="5" t="str">
        <f t="shared" si="2"/>
        <v>in USD</v>
      </c>
    </row>
    <row r="40" spans="2:24">
      <c r="D40" s="15"/>
      <c r="E40" s="15" t="s">
        <v>77</v>
      </c>
      <c r="G40" s="2">
        <f>SUM(G4:G38)</f>
        <v>2191748</v>
      </c>
      <c r="H40" s="2">
        <f>SUM(H4:H38)</f>
        <v>763745</v>
      </c>
      <c r="K40" s="2">
        <f>SUM(K4:K38)</f>
        <v>1962486</v>
      </c>
      <c r="L40" s="2">
        <f>SUM(L4:L38)</f>
        <v>683087</v>
      </c>
      <c r="M40" s="16"/>
      <c r="O40" s="1">
        <f>SUM(O4:O38)</f>
        <v>1735000</v>
      </c>
      <c r="P40" s="2">
        <f>SUM(P4:P38)</f>
        <v>628000</v>
      </c>
      <c r="R40" s="1">
        <f>SUM(R4:R38)</f>
        <v>1194591</v>
      </c>
      <c r="S40" s="2">
        <f>SUM(S4:S38)</f>
        <v>498618</v>
      </c>
      <c r="U40" s="1">
        <f>SUM(U4:U38)</f>
        <v>1114249</v>
      </c>
      <c r="V40" s="2">
        <f>SUM(V4:V38)</f>
        <v>493000</v>
      </c>
      <c r="W40" s="1">
        <f>SUM(W4:W38)</f>
        <v>1006000</v>
      </c>
      <c r="X40" s="2">
        <f>SUM(X4:X38)</f>
        <v>231020</v>
      </c>
    </row>
    <row r="41" spans="2:24">
      <c r="D41" s="15"/>
      <c r="E41" s="17" t="s">
        <v>78</v>
      </c>
      <c r="G41" s="2">
        <v>2191748</v>
      </c>
      <c r="H41" s="2">
        <v>763745</v>
      </c>
      <c r="K41" s="2">
        <v>1962486</v>
      </c>
      <c r="L41" s="2">
        <v>683087</v>
      </c>
      <c r="M41" s="16"/>
      <c r="O41" s="1">
        <v>1735000</v>
      </c>
      <c r="P41" s="2">
        <v>628000</v>
      </c>
      <c r="R41" s="1">
        <v>1194591</v>
      </c>
      <c r="S41" s="2">
        <v>498618</v>
      </c>
      <c r="U41" s="1">
        <v>1114249</v>
      </c>
      <c r="V41" s="2">
        <v>493000</v>
      </c>
      <c r="W41" s="1">
        <v>1006000</v>
      </c>
      <c r="X41" s="2">
        <v>231020</v>
      </c>
    </row>
    <row r="42" spans="2:24">
      <c r="E42" s="18" t="s">
        <v>102</v>
      </c>
      <c r="F42" s="19">
        <v>1.35</v>
      </c>
      <c r="G42" s="19"/>
      <c r="H42" s="19"/>
      <c r="I42" s="19"/>
      <c r="J42" s="19"/>
      <c r="L42" s="1" t="s">
        <v>79</v>
      </c>
      <c r="M42" s="1"/>
      <c r="P42" s="1" t="s">
        <v>80</v>
      </c>
      <c r="S42" s="16"/>
      <c r="U42"/>
      <c r="V42"/>
    </row>
    <row r="43" spans="2:24" s="37" customFormat="1">
      <c r="D43" s="38"/>
      <c r="E43" s="39" t="s">
        <v>99</v>
      </c>
      <c r="G43" s="69">
        <f>G44/$F$42</f>
        <v>2387262.0370370368</v>
      </c>
      <c r="H43" s="69"/>
      <c r="J43" s="2"/>
      <c r="K43" s="69">
        <f>K44/1.3439</f>
        <v>2143378.68836967</v>
      </c>
      <c r="L43" s="69"/>
      <c r="M43" s="40"/>
      <c r="N43" s="2"/>
      <c r="O43" s="69">
        <f>O44/1.3465</f>
        <v>1916525.8076494616</v>
      </c>
      <c r="P43" s="69"/>
      <c r="Q43" s="41"/>
      <c r="R43" s="42"/>
      <c r="S43" s="41"/>
      <c r="T43" s="41"/>
      <c r="U43" s="42"/>
      <c r="V43" s="41"/>
    </row>
    <row r="44" spans="2:24">
      <c r="D44" s="15"/>
      <c r="E44" s="15" t="s">
        <v>81</v>
      </c>
      <c r="G44" s="76">
        <f>H40*$F$42+G40</f>
        <v>3222803.75</v>
      </c>
      <c r="H44" s="76"/>
      <c r="K44" s="76">
        <f>L40*1.3439+K40</f>
        <v>2880486.6192999999</v>
      </c>
      <c r="L44" s="76"/>
      <c r="M44" s="20"/>
      <c r="O44" s="76">
        <f>P40*1.3465+O40</f>
        <v>2580602</v>
      </c>
      <c r="P44" s="76"/>
      <c r="R44" s="76">
        <f>S40*1.37+R40</f>
        <v>1877697.6600000001</v>
      </c>
      <c r="S44" s="76"/>
      <c r="U44" s="76">
        <f>V40*1.37+U40</f>
        <v>1789659</v>
      </c>
      <c r="V44" s="76"/>
      <c r="W44" s="76">
        <f>X40*1.36+W40</f>
        <v>1320187.2</v>
      </c>
      <c r="X44" s="76"/>
    </row>
    <row r="45" spans="2:24">
      <c r="D45" s="15"/>
      <c r="L45" s="20"/>
      <c r="M45" s="20"/>
      <c r="P45" s="20"/>
      <c r="R45" s="20"/>
      <c r="S45" s="20"/>
      <c r="U45" s="20"/>
      <c r="V45" s="20"/>
      <c r="W45" s="20"/>
      <c r="X45" s="20"/>
    </row>
    <row r="46" spans="2:24">
      <c r="B46" t="s">
        <v>82</v>
      </c>
      <c r="D46" s="15"/>
      <c r="E46" s="15"/>
      <c r="K46" s="2">
        <f>G44-K44</f>
        <v>342317.1307000001</v>
      </c>
      <c r="L46" s="49" t="s">
        <v>101</v>
      </c>
      <c r="M46" s="20"/>
      <c r="O46" s="20"/>
      <c r="P46" s="20"/>
      <c r="U46" s="20"/>
      <c r="V46" s="20"/>
      <c r="W46" s="20"/>
      <c r="X46" s="20"/>
    </row>
    <row r="47" spans="2:24">
      <c r="B47" s="53" t="s">
        <v>105</v>
      </c>
      <c r="N47" s="1"/>
      <c r="Q47" s="1"/>
      <c r="T47" s="1"/>
      <c r="V47" s="1"/>
    </row>
    <row r="48" spans="2:24" ht="23.25">
      <c r="B48" s="21" t="s">
        <v>85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3"/>
      <c r="Q48" s="21"/>
      <c r="R48" s="21"/>
      <c r="S48" s="21"/>
      <c r="T48" s="21"/>
      <c r="U48" s="21"/>
      <c r="V48" s="21"/>
    </row>
    <row r="49" spans="2:22">
      <c r="B49" s="22" t="s">
        <v>86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Q49" s="23"/>
      <c r="R49" s="23"/>
      <c r="S49" s="23"/>
      <c r="T49" s="23"/>
      <c r="U49" s="23"/>
      <c r="V49" s="23"/>
    </row>
    <row r="50" spans="2:22">
      <c r="B50" t="s">
        <v>83</v>
      </c>
      <c r="K50"/>
      <c r="L50"/>
      <c r="M50"/>
      <c r="N50"/>
      <c r="O50"/>
      <c r="P50"/>
      <c r="Q50"/>
      <c r="R50"/>
      <c r="S50"/>
      <c r="T50"/>
      <c r="U50"/>
      <c r="V50"/>
    </row>
    <row r="51" spans="2:22" ht="12.75" customHeight="1">
      <c r="B51" s="50" t="s">
        <v>84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30"/>
      <c r="S51" s="21"/>
      <c r="T51" s="21"/>
      <c r="U51" s="21"/>
      <c r="V51" s="21"/>
    </row>
    <row r="52" spans="2:22">
      <c r="B52" s="24"/>
    </row>
    <row r="53" spans="2:22">
      <c r="B53" s="24"/>
    </row>
    <row r="54" spans="2:22">
      <c r="B54" s="24"/>
    </row>
    <row r="55" spans="2:22">
      <c r="B55" s="24"/>
    </row>
    <row r="56" spans="2:22">
      <c r="B56" s="24"/>
    </row>
  </sheetData>
  <mergeCells count="19">
    <mergeCell ref="W44:X44"/>
    <mergeCell ref="G2:H2"/>
    <mergeCell ref="K2:L2"/>
    <mergeCell ref="O2:P2"/>
    <mergeCell ref="R2:S2"/>
    <mergeCell ref="U2:V2"/>
    <mergeCell ref="G44:H44"/>
    <mergeCell ref="K44:L44"/>
    <mergeCell ref="O44:P44"/>
    <mergeCell ref="R44:S44"/>
    <mergeCell ref="U44:V44"/>
    <mergeCell ref="B18:B19"/>
    <mergeCell ref="W2:X2"/>
    <mergeCell ref="K43:L43"/>
    <mergeCell ref="O43:P43"/>
    <mergeCell ref="G43:H43"/>
    <mergeCell ref="D17:D26"/>
    <mergeCell ref="C31:C34"/>
    <mergeCell ref="C6:C11"/>
  </mergeCells>
  <pageMargins left="0.25" right="0.25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4FE5-E2F8-4F66-86D7-49D84AB3CCE5}">
  <dimension ref="C2:C15"/>
  <sheetViews>
    <sheetView workbookViewId="0">
      <selection activeCell="D29" sqref="D29"/>
    </sheetView>
  </sheetViews>
  <sheetFormatPr defaultRowHeight="12.75"/>
  <sheetData>
    <row r="2" spans="3:3">
      <c r="C2" t="s">
        <v>89</v>
      </c>
    </row>
    <row r="3" spans="3:3">
      <c r="C3">
        <v>4</v>
      </c>
    </row>
    <row r="4" spans="3:3">
      <c r="C4">
        <v>2</v>
      </c>
    </row>
    <row r="5" spans="3:3">
      <c r="C5">
        <v>1</v>
      </c>
    </row>
    <row r="6" spans="3:3">
      <c r="C6">
        <v>1</v>
      </c>
    </row>
    <row r="7" spans="3:3">
      <c r="C7">
        <v>7.3</v>
      </c>
    </row>
    <row r="8" spans="3:3">
      <c r="C8">
        <v>3.1</v>
      </c>
    </row>
    <row r="9" spans="3:3">
      <c r="C9">
        <v>10.5</v>
      </c>
    </row>
    <row r="10" spans="3:3">
      <c r="C10">
        <v>2</v>
      </c>
    </row>
    <row r="11" spans="3:3">
      <c r="C11">
        <v>5</v>
      </c>
    </row>
    <row r="12" spans="3:3">
      <c r="C12">
        <v>8</v>
      </c>
    </row>
    <row r="13" spans="3:3">
      <c r="C13">
        <v>1</v>
      </c>
    </row>
    <row r="14" spans="3:3">
      <c r="C14">
        <v>2.7</v>
      </c>
    </row>
    <row r="15" spans="3:3">
      <c r="C15">
        <v>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NAV Aug12</vt:lpstr>
      <vt:lpstr>NAV24</vt:lpstr>
      <vt:lpstr>scratchpad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Bin TAN</cp:lastModifiedBy>
  <dcterms:created xsi:type="dcterms:W3CDTF">2024-06-01T15:58:00Z</dcterms:created>
  <dcterms:modified xsi:type="dcterms:W3CDTF">2025-01-29T10:17:56Z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30098C1DFA554DCEA24A9366264EDE44_12</vt:lpwstr>
  </property>
  <property fmtid="{D5CDD505-2E9C-101B-9397-08002B2CF9AE}" pid="3" name="KSOProductBuildVer">
    <vt:lpwstr>1033-12.2.0.13359</vt:lpwstr>
  </property>
</Properties>
</file>