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C13828E-2158-4C19-99AE-7AA658E9658B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I33" i="42" l="1"/>
  <c r="J33" i="42"/>
  <c r="H33" i="42"/>
  <c r="LC17" i="32" l="1"/>
  <c r="LE27" i="32"/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<sst xmlns="http://schemas.openxmlformats.org/spreadsheetml/2006/main" count="7789" uniqueCount="3192">
  <si>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</si>
  <si>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</si>
  <si>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</si>
  <si>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</si>
  <si>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</si>
  <si>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</si>
  <si>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</si>
  <si>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</si>
  <si>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</si>
  <si>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</si>
  <si>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</si>
  <si>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</si>
  <si>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</si>
  <si>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</si>
  <si>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</si>
  <si>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</si>
  <si>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</si>
  <si>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</si>
  <si>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</si>
  <si>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</si>
  <si>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</si>
  <si>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</si>
  <si>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</si>
  <si>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</si>
  <si>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</si>
  <si>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</si>
  <si>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</si>
  <si>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</si>
  <si>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</si>
  <si>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</si>
  <si>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</si>
  <si>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</si>
  <si>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</si>
  <si>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</si>
  <si>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</si>
  <si>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</si>
  <si>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</si>
  <si>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</si>
  <si>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</si>
  <si>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</si>
  <si>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</si>
  <si>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</si>
  <si>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</si>
  <si>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</si>
  <si>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</si>
  <si>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</si>
  <si>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</si>
  <si>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</si>
  <si>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</si>
  <si>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</si>
  <si>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</si>
  <si>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</si>
  <si>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</si>
  <si>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</si>
  <si>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</si>
  <si>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</si>
  <si>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</si>
  <si>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</si>
  <si>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</si>
  <si>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</si>
  <si>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</si>
  <si>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</si>
  <si>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</si>
  <si>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</si>
  <si>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</si>
  <si>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</si>
  <si>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</si>
  <si>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</si>
  <si>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</si>
  <si>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</si>
  <si>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</si>
  <si>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</si>
  <si>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</si>
  <si>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</si>
  <si>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</si>
  <si>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</si>
  <si>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</si>
  <si>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</si>
  <si>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</si>
  <si>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</si>
  <si>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</si>
  <si>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</si>
  <si>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</si>
  <si>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</si>
  <si>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</si>
  <si>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</si>
  <si>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</si>
  <si>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</si>
  <si>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</si>
  <si>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</si>
  <si>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</si>
  <si>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</si>
  <si>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</si>
  <si>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</si>
  <si>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</si>
  <si>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</si>
  <si>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</si>
  <si>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</si>
  <si>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</si>
  <si>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</si>
  <si>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</si>
  <si>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</si>
  <si>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</si>
  <si>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</si>
  <si>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</si>
  <si>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</si>
  <si>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</si>
  <si>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</si>
  <si>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</si>
  <si>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</si>
  <si>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</si>
  <si>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</si>
  <si>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</si>
  <si>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</si>
  <si>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</si>
  <si>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</si>
  <si>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</si>
  <si>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</si>
  <si>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</si>
  <si>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</si>
  <si>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</si>
  <si>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</si>
  <si>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</si>
  <si>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</si>
  <si>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</si>
  <si>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</si>
  <si>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</si>
  <si>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</si>
  <si>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</si>
  <si>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</si>
  <si>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</si>
  <si>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</si>
  <si>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</si>
  <si>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</si>
  <si>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</si>
  <si>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</si>
  <si>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</si>
  <si>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</si>
  <si>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</si>
  <si>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</si>
  <si>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</si>
  <si>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</si>
  <si>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</si>
  <si>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</si>
  <si>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</si>
  <si>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</si>
  <si>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</si>
  <si>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</si>
  <si>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</si>
  <si>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</si>
  <si>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</si>
  <si>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</si>
  <si>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</si>
  <si>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</si>
  <si>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</si>
  <si>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</si>
  <si>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</si>
  <si>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</si>
  <si>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</si>
  <si>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</si>
  <si>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</si>
  <si>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</si>
  <si>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</si>
  <si>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</si>
  <si>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</si>
  <si>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</si>
  <si>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</si>
  <si>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</si>
  <si>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</si>
  <si>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</si>
  <si>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</si>
  <si>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</si>
  <si>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</si>
  <si>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</si>
  <si>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</si>
  <si>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</si>
  <si>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</si>
  <si>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</si>
  <si>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</si>
  <si>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</si>
  <si>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</si>
  <si>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</si>
  <si>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</si>
  <si>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</si>
  <si>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</si>
  <si>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</si>
  <si>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</si>
  <si>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</si>
  <si>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</si>
  <si>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</si>
  <si>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</si>
  <si>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</si>
  <si>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</si>
  <si>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</si>
  <si>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</si>
  <si>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</si>
  <si>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</si>
  <si>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</si>
  <si>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</si>
  <si>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</si>
  <si>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</si>
  <si>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</si>
  <si>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</si>
  <si>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</si>
  <si>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</si>
  <si>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</si>
  <si>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</si>
  <si>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</si>
  <si>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</si>
  <si>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</si>
  <si>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</si>
  <si>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</si>
  <si>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</si>
  <si>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</si>
  <si>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</si>
  <si>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</si>
  <si>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</si>
  <si>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</si>
  <si>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</si>
  <si>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</si>
  <si>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</si>
  <si>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</si>
  <si>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</si>
  <si>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</si>
  <si>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</si>
  <si>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</si>
  <si>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</si>
  <si>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</si>
  <si>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</si>
  <si>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</si>
  <si>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</si>
  <si>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</si>
  <si>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</si>
  <si>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</si>
  <si>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</si>
  <si>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</si>
  <si>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</si>
  <si>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</si>
  <si>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</si>
  <si>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</si>
  <si>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</si>
  <si>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</si>
  <si>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</si>
  <si>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</si>
  <si>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</si>
  <si>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</si>
  <si>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</si>
  <si>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</si>
  <si>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</si>
  <si>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</si>
  <si>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</si>
  <si>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</si>
  <si>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</si>
  <si>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</si>
  <si>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</si>
  <si>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</si>
  <si>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</si>
  <si>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</si>
  <si>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</si>
  <si>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</si>
  <si>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</si>
  <si>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</si>
  <si>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</si>
  <si>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</si>
  <si>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</si>
  <si>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</si>
  <si>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</si>
  <si>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</si>
  <si>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</si>
  <si>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</si>
  <si>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</si>
  <si>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</si>
  <si>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</si>
  <si>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</si>
  <si>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</si>
  <si>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</si>
  <si>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</si>
  <si>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</si>
  <si>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</si>
  <si>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</si>
  <si>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</si>
  <si>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</si>
  <si>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</si>
  <si>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</si>
  <si>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</si>
  <si>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</si>
  <si>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</si>
  <si>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</si>
  <si>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</si>
  <si>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</si>
  <si>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</si>
  <si>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</si>
  <si>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</si>
  <si>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</si>
  <si>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</si>
  <si>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</si>
  <si>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</si>
  <si>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</si>
  <si>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</si>
  <si>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</si>
  <si>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</si>
  <si>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</si>
  <si>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</si>
  <si>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</si>
  <si>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</si>
  <si>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</si>
  <si>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</si>
  <si>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</si>
  <si>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</si>
  <si>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</si>
  <si>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</si>
  <si>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</si>
  <si>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</si>
  <si>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</si>
  <si>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</si>
  <si>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</si>
  <si>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</si>
  <si>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</si>
  <si>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</si>
  <si>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</si>
  <si>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</si>
  <si>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</si>
  <si>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</si>
  <si>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</si>
  <si>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</si>
  <si>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</si>
  <si>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</si>
  <si>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</si>
  <si>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</si>
  <si>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</si>
  <si>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</si>
  <si>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</si>
  <si>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</si>
  <si>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</si>
  <si>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</si>
  <si>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</si>
  <si>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</si>
  <si>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</si>
  <si>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</si>
  <si>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</si>
  <si>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</si>
  <si>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</si>
  <si>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</si>
  <si>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</si>
  <si>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</si>
  <si>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</si>
  <si>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</si>
  <si>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</si>
  <si>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</si>
  <si>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</si>
  <si>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</si>
  <si>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</si>
  <si>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</si>
  <si>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</si>
  <si>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</si>
  <si>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</si>
  <si>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</si>
  <si>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</si>
  <si>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</si>
  <si>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</si>
  <si>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</si>
  <si>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</si>
  <si>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</si>
  <si>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</si>
  <si>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</si>
  <si>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</si>
  <si>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</si>
  <si>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</si>
  <si>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</si>
  <si>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</si>
  <si>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</si>
  <si>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</si>
  <si>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</si>
  <si>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</si>
  <si>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</si>
  <si>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</si>
  <si>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</si>
  <si>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</si>
  <si>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</si>
  <si>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</si>
  <si>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</si>
  <si>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</si>
  <si>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</si>
  <si>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</si>
  <si>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</si>
  <si>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</si>
  <si>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</si>
  <si>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</si>
  <si>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</si>
  <si>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</si>
  <si>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</si>
  <si>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</si>
  <si>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</si>
  <si>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</si>
  <si>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</si>
  <si>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</si>
  <si>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</si>
  <si>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</si>
  <si>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</si>
  <si>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</si>
  <si>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</si>
  <si>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</si>
  <si>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</si>
  <si>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</si>
  <si>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</si>
  <si>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</si>
  <si>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</si>
  <si>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</si>
  <si>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</si>
  <si>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</si>
  <si>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</si>
  <si>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</si>
  <si>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</si>
  <si>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</si>
  <si>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</si>
  <si>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</si>
  <si>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</si>
  <si>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</si>
  <si>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</si>
  <si>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</si>
  <si>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</si>
  <si>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</si>
  <si>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</si>
  <si>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</si>
  <si>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</si>
  <si>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</si>
  <si>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</si>
  <si>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</si>
  <si>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</si>
  <si>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</si>
  <si>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</si>
  <si>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</si>
  <si>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</si>
  <si>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</si>
  <si>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</si>
  <si>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</si>
  <si>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</si>
  <si>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</si>
  <si>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</si>
  <si>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</si>
  <si>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</si>
  <si>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</si>
  <si>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</si>
  <si>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</si>
  <si>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</si>
  <si>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</si>
  <si>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</si>
  <si>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</si>
  <si>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</si>
  <si>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</si>
  <si>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</si>
  <si>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</si>
  <si>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</si>
  <si>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</si>
  <si>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</si>
  <si>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</si>
  <si>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</si>
  <si>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</si>
  <si>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</si>
  <si>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</si>
  <si>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</si>
  <si>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</si>
  <si>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</si>
  <si>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</si>
  <si>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</si>
  <si>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</si>
  <si>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</si>
  <si>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</si>
  <si>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</si>
  <si>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</si>
  <si>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</si>
  <si>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</si>
  <si>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</si>
  <si>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</si>
  <si>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</si>
  <si>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</si>
  <si>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</si>
  <si>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</si>
  <si>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</si>
  <si>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</si>
  <si>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</si>
  <si>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</si>
  <si>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</si>
  <si>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</si>
  <si>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</si>
  <si>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</si>
  <si>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</si>
  <si>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</si>
  <si>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</si>
  <si>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</si>
  <si>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</si>
  <si>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</si>
  <si>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</si>
  <si>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</si>
  <si>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</si>
  <si>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</si>
  <si>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</si>
  <si>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</si>
  <si>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</si>
  <si>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</si>
  <si>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</si>
  <si>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</si>
  <si>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</si>
  <si>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</si>
  <si>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</si>
  <si>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</si>
  <si>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</si>
  <si>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</si>
  <si>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</si>
  <si>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</si>
  <si>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</si>
  <si>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</si>
  <si>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</si>
  <si>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</si>
  <si>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</si>
  <si>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</si>
  <si>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</si>
  <si>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</si>
  <si>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</si>
  <si>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</si>
  <si>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</si>
  <si>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</si>
  <si>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</si>
  <si>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</si>
  <si>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</si>
  <si>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</si>
  <si>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</si>
  <si>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</si>
  <si>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</si>
  <si>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</si>
  <si>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</si>
  <si>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</si>
  <si>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</si>
  <si>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</si>
  <si>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</si>
  <si>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</si>
  <si>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</si>
  <si>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</si>
  <si>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</si>
  <si>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</si>
  <si>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</si>
  <si>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</si>
  <si>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</si>
  <si>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</si>
  <si>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</si>
  <si>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</si>
  <si>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</si>
  <si>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</si>
  <si>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</si>
  <si>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</si>
  <si>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</si>
  <si>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</si>
  <si>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</si>
  <si>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</si>
  <si>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</si>
  <si>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</si>
  <si>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</si>
  <si>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</si>
  <si>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</si>
  <si>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</si>
  <si>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</si>
  <si>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</si>
  <si>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</si>
  <si>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</si>
  <si>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</si>
  <si>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</si>
  <si>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</si>
  <si>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</si>
  <si>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</si>
  <si>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</si>
  <si>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</si>
  <si>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</si>
  <si>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</si>
  <si>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</si>
  <si>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</si>
  <si>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</si>
  <si>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</si>
  <si>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</si>
  <si>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</si>
  <si>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</si>
  <si>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</si>
  <si>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</si>
  <si>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</si>
  <si>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</si>
  <si>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</si>
  <si>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</si>
  <si>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</si>
  <si>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</si>
  <si>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</si>
  <si>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</si>
  <si>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</si>
  <si>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</si>
  <si>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</si>
  <si>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</si>
  <si>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</si>
  <si>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</si>
  <si>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</si>
  <si>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</si>
  <si>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</si>
  <si>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</si>
  <si>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</si>
  <si>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</si>
  <si>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</si>
  <si>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</si>
  <si>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</si>
  <si>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</si>
  <si>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</si>
  <si>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</si>
  <si>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</si>
  <si>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</si>
  <si>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</si>
  <si>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</si>
  <si>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</si>
  <si>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</si>
  <si>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</si>
  <si>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</si>
  <si>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</si>
  <si>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</si>
  <si>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</si>
  <si>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</si>
  <si>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</si>
  <si>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</si>
  <si>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</si>
  <si>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</si>
  <si>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</si>
  <si>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</si>
  <si>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</si>
  <si>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</si>
  <si>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</si>
  <si>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</si>
  <si>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</si>
  <si>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</si>
  <si>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</si>
  <si>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</si>
  <si>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</si>
  <si>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</si>
  <si>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</si>
  <si>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</si>
  <si>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</si>
  <si>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</si>
  <si>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</si>
  <si>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</si>
  <si>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</si>
  <si>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</si>
  <si>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</si>
  <si>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</si>
  <si>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</si>
  <si>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</si>
  <si>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</si>
  <si>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</si>
  <si>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</si>
  <si>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</si>
  <si>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</si>
  <si>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</si>
  <si>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</si>
  <si>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</si>
  <si>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</si>
  <si>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</si>
  <si>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</si>
  <si>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</si>
  <si>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</si>
  <si>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</si>
  <si>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</si>
  <si>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</si>
  <si>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</si>
  <si>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</si>
  <si>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</si>
  <si>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</si>
  <si>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</si>
  <si>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</si>
  <si>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</si>
  <si>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</si>
  <si>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</si>
  <si>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</si>
  <si>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</si>
  <si>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</si>
  <si>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</si>
  <si>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</si>
  <si>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</si>
  <si>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</si>
  <si>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</si>
  <si>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</si>
  <si>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</si>
  <si>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</si>
  <si>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</si>
  <si>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</si>
  <si>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</si>
  <si>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</si>
  <si>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</si>
  <si>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</si>
  <si>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</si>
  <si>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</si>
  <si>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</si>
  <si>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</si>
  <si>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</si>
  <si>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</si>
  <si>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</si>
  <si>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</si>
  <si>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</si>
  <si>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</si>
  <si>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</si>
  <si>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</si>
  <si>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</si>
  <si>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</si>
  <si>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</si>
  <si>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</si>
  <si>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</si>
  <si>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</si>
  <si>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</si>
  <si>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</si>
  <si>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</si>
  <si>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</si>
  <si>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</si>
  <si>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</si>
  <si>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</si>
  <si>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</si>
  <si>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</si>
  <si>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</si>
  <si>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</si>
  <si>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</si>
  <si>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</si>
  <si>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</si>
  <si>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</si>
  <si>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</si>
  <si>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</si>
  <si>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</si>
  <si>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</si>
  <si>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</si>
  <si>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</si>
  <si>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</si>
  <si>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</si>
  <si>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</si>
  <si>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</si>
  <si>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</si>
  <si>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</si>
  <si>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</si>
  <si>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</si>
  <si>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</si>
  <si>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</si>
  <si>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</si>
  <si>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</si>
  <si>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</si>
  <si>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</si>
  <si>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</si>
  <si>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</si>
  <si>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</si>
  <si>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</si>
  <si>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</si>
  <si>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</si>
  <si>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</si>
  <si>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</si>
  <si>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</si>
  <si>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</si>
  <si>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</si>
  <si>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</si>
  <si>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</si>
  <si>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</si>
  <si>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</si>
  <si>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</si>
  <si>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</si>
  <si>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</si>
  <si>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</si>
  <si>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</si>
  <si>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</si>
  <si>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</si>
  <si>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</si>
  <si>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</si>
  <si>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</si>
  <si>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</si>
  <si>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</si>
  <si>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</si>
  <si>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</si>
  <si>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</si>
  <si>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</si>
  <si>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</si>
  <si>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</si>
  <si>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</si>
  <si>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</si>
  <si>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</si>
  <si>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</si>
  <si>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</si>
  <si>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</si>
  <si>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</si>
  <si>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</si>
  <si>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</si>
  <si>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</si>
  <si>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</si>
  <si>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</si>
  <si>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</si>
  <si>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</si>
  <si>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</si>
  <si>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</si>
  <si>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</si>
  <si>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</si>
  <si>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</si>
  <si>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</si>
  <si>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</si>
  <si>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</si>
  <si>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</si>
  <si>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</si>
  <si>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</si>
  <si>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</si>
  <si>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</si>
  <si>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</si>
  <si>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</si>
  <si>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</si>
  <si>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</si>
  <si>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</si>
  <si>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</si>
  <si>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</si>
  <si>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</si>
  <si>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</si>
  <si>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</si>
  <si>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</si>
  <si>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</si>
  <si>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</si>
  <si>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</si>
  <si>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</si>
  <si>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</si>
  <si>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</si>
  <si>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</si>
  <si>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</si>
  <si>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</si>
  <si>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</si>
  <si>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</si>
  <si>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</si>
  <si>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</si>
  <si>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</si>
  <si>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</si>
  <si>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</si>
  <si>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</si>
  <si>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</si>
  <si>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</si>
  <si>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</si>
  <si>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</si>
  <si>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</si>
  <si>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</si>
  <si>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</si>
  <si>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</si>
  <si>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</si>
  <si>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</si>
  <si>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</si>
  <si>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</si>
  <si>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</si>
  <si>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</si>
  <si>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</si>
  <si>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</si>
  <si>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</si>
  <si>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</si>
  <si>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</si>
  <si>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</si>
  <si>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</si>
  <si>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</si>
  <si>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</si>
  <si>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</si>
  <si>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</si>
  <si>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</si>
  <si>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</si>
  <si>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</si>
  <si>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</si>
  <si>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</si>
  <si>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</si>
  <si>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</si>
  <si>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</si>
  <si>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</si>
  <si>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</si>
  <si>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</si>
  <si>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</si>
  <si>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</si>
  <si>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</si>
  <si>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</si>
  <si>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</si>
  <si>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</si>
  <si>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</si>
  <si>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</si>
  <si>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</si>
  <si>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</si>
  <si>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</si>
  <si>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</si>
  <si>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</si>
  <si>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</si>
  <si>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</si>
  <si>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</si>
  <si>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</si>
  <si>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</si>
  <si>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</si>
  <si>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</si>
  <si>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</si>
  <si>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</si>
  <si>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</si>
  <si>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</si>
  <si>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</si>
  <si>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</si>
  <si>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</si>
  <si>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</si>
  <si>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</si>
  <si>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</si>
  <si>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</si>
  <si>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</si>
  <si>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</si>
  <si>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</si>
  <si>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</si>
  <si>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</si>
  <si>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</si>
  <si>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</si>
  <si>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</si>
  <si>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</si>
  <si>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</si>
  <si>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</si>
  <si>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</si>
  <si>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</si>
  <si>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</si>
  <si>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</si>
  <si>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</si>
  <si>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</si>
  <si>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</si>
  <si>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</si>
  <si>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</si>
  <si>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</si>
  <si>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</si>
  <si>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</si>
  <si>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</si>
  <si>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</si>
  <si>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</si>
  <si>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</si>
  <si>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</si>
  <si>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</si>
  <si>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</si>
  <si>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</si>
  <si>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</si>
  <si>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</si>
  <si>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</si>
  <si>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</si>
  <si>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</si>
  <si>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</si>
  <si>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</si>
  <si>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</si>
  <si>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</si>
  <si>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</si>
  <si>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</si>
  <si>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</si>
  <si>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</si>
  <si>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</si>
  <si>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</si>
  <si>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</si>
  <si>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</si>
  <si>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</si>
  <si>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</si>
  <si>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</si>
  <si>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</si>
  <si>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</si>
  <si>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</si>
  <si>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</si>
  <si>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</si>
  <si>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</si>
  <si>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</si>
  <si>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</si>
  <si>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</si>
  <si>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</si>
  <si>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</si>
  <si>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</si>
  <si>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</si>
  <si>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</si>
  <si>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</si>
  <si>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</si>
  <si>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</si>
  <si>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</si>
  <si>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</si>
  <si>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</si>
  <si>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</si>
  <si>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</si>
  <si>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</si>
  <si>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</si>
  <si>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</si>
  <si>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</si>
  <si>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</si>
  <si>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</si>
  <si>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</si>
  <si>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</si>
  <si>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</si>
  <si>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</si>
  <si>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</si>
  <si>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</si>
  <si>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</si>
  <si>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</si>
  <si>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</si>
  <si>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</si>
  <si>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</si>
  <si>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</si>
  <si>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</si>
  <si>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</si>
  <si>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</si>
  <si>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</si>
  <si>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</si>
  <si>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</si>
  <si>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</si>
  <si>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</si>
  <si>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</si>
  <si>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</si>
  <si>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</si>
  <si>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</si>
  <si>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</si>
  <si>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</si>
  <si>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</si>
  <si>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</si>
  <si>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</si>
  <si>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</si>
  <si>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</si>
  <si>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</si>
  <si>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</si>
  <si>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</si>
  <si>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</si>
  <si>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</si>
  <si>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</si>
  <si>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</si>
  <si>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</si>
  <si>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</si>
  <si>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</si>
  <si>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</si>
  <si>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</si>
  <si>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</si>
  <si>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</si>
  <si>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</si>
  <si>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</si>
  <si>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</si>
  <si>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</si>
  <si>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</si>
  <si>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</si>
  <si>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</si>
  <si>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</si>
  <si>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</si>
  <si>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</si>
  <si>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</si>
  <si>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</si>
  <si>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</si>
  <si>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</si>
  <si>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</si>
  <si>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</si>
  <si>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</si>
  <si>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</si>
  <si>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</si>
  <si>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</si>
  <si>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</si>
  <si>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</si>
  <si>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</si>
  <si>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</si>
  <si>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</si>
  <si>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</si>
  <si>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</si>
  <si>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</si>
  <si>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</si>
  <si>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</si>
  <si>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</si>
  <si>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</si>
  <si>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</si>
  <si>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</si>
  <si>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</si>
  <si>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</si>
  <si>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</si>
  <si>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</si>
  <si>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</si>
  <si>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</si>
  <si>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</si>
  <si>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</si>
  <si>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</si>
  <si>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</si>
  <si>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</si>
  <si>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</si>
  <si>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</si>
  <si>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</si>
  <si>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</si>
  <si>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</si>
  <si>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</si>
  <si>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</si>
  <si>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</si>
  <si>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</si>
  <si>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</si>
  <si>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</si>
  <si>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</si>
  <si>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</si>
  <si>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</si>
  <si>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</si>
  <si>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</si>
  <si>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</si>
  <si>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</si>
  <si>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</si>
  <si>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</si>
  <si>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</si>
  <si>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</si>
  <si>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</si>
  <si>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</si>
  <si>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</si>
  <si>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</si>
  <si>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</si>
  <si>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</si>
  <si>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</si>
  <si>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</si>
  <si>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</si>
  <si>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</si>
  <si>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</si>
  <si>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</si>
  <si>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</si>
  <si>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</si>
  <si>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</si>
  <si>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</si>
  <si>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</si>
  <si>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</si>
  <si>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</si>
  <si>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</si>
  <si>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</si>
  <si>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</si>
  <si>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</si>
  <si>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</si>
  <si>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</si>
  <si>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</si>
  <si>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</si>
  <si>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</si>
  <si>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</si>
  <si>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</si>
  <si>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</si>
  <si>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</si>
  <si>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</si>
  <si>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</si>
  <si>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</si>
  <si>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</si>
  <si>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</si>
  <si>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</si>
  <si>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</si>
  <si>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</si>
  <si>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</si>
  <si>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</si>
  <si>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</si>
  <si>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</si>
  <si>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</si>
  <si>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</si>
  <si>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</si>
  <si>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</si>
  <si>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</si>
  <si>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</si>
  <si>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</si>
  <si>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</si>
  <si>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</si>
  <si>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</si>
  <si>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</si>
  <si>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</si>
  <si>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</si>
  <si>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</si>
  <si>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</si>
  <si>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</si>
  <si>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</si>
  <si>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</si>
  <si>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</si>
  <si>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</si>
  <si>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</si>
  <si>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</si>
  <si>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</si>
  <si>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</si>
  <si>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</si>
  <si>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</si>
  <si>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</si>
  <si>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</si>
  <si>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</si>
  <si>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</si>
  <si>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</si>
  <si>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</si>
  <si>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</si>
  <si>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</si>
  <si>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</si>
  <si>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</si>
  <si>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</si>
  <si>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</si>
  <si>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</si>
  <si>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</si>
  <si>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</si>
  <si>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</si>
  <si>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</si>
  <si>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</si>
  <si>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</si>
  <si>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</si>
  <si>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</si>
  <si>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</si>
  <si>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</si>
  <si>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</si>
  <si>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</si>
  <si>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</si>
  <si>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</si>
  <si>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</si>
  <si>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</si>
  <si>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</si>
  <si>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</si>
  <si>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</si>
  <si>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</si>
  <si>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</si>
  <si>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</si>
  <si>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</si>
  <si>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</si>
  <si>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</si>
  <si>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</si>
  <si>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</si>
  <si>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</si>
  <si>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</si>
  <si>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</si>
  <si>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</si>
  <si>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</si>
  <si>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</si>
  <si>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</si>
  <si>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</si>
  <si>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</si>
  <si>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</si>
  <si>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</si>
  <si>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</si>
  <si>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</si>
  <si>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</si>
  <si>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</si>
  <si>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</si>
  <si>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</si>
  <si>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</si>
  <si>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</si>
  <si>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</si>
  <si>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</si>
  <si>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</si>
  <si>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</si>
  <si>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</si>
  <si>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</si>
  <si>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</si>
  <si>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</si>
  <si>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</si>
  <si>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</si>
  <si>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</si>
  <si>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</si>
  <si>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</si>
  <si>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</si>
  <si>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</si>
  <si>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</si>
  <si>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</si>
  <si>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</si>
  <si>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</si>
  <si>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</si>
  <si>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</si>
  <si>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</si>
  <si>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</si>
  <si>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</si>
  <si>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</si>
  <si>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</si>
  <si>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</si>
  <si>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</si>
  <si>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</si>
  <si>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</si>
  <si>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</si>
  <si>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</si>
  <si>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</si>
  <si>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</si>
  <si>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</si>
  <si>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</si>
  <si>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</si>
  <si>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</si>
  <si>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</si>
  <si>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</si>
  <si>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</si>
  <si>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</si>
  <si>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</si>
  <si>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</si>
  <si>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</si>
  <si>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</si>
  <si>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</si>
  <si>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</si>
  <si>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</si>
  <si>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</si>
  <si>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</si>
  <si>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</si>
  <si>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</si>
  <si>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</si>
  <si>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</si>
  <si>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</si>
  <si>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</si>
  <si>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</si>
  <si>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</si>
  <si>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</si>
  <si>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</si>
  <si>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</si>
  <si>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</si>
  <si>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</si>
  <si>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</si>
  <si>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</si>
  <si>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</si>
  <si>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</si>
  <si>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</si>
  <si>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</si>
  <si>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</si>
  <si>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</si>
  <si>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</si>
  <si>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</si>
  <si>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</si>
  <si>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</si>
  <si>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</si>
  <si>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</si>
  <si>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</si>
  <si>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</si>
  <si>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</si>
  <si>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</si>
  <si>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</si>
  <si>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</si>
  <si>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</si>
  <si>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</si>
  <si>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</si>
  <si>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</si>
  <si>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</si>
  <si>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</si>
  <si>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</si>
  <si>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</si>
  <si>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</si>
  <si>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</si>
  <si>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</si>
  <si>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</si>
  <si>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</si>
  <si>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</si>
  <si>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</si>
  <si>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</si>
  <si>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</si>
  <si>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</si>
  <si>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</si>
  <si>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</si>
  <si>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</si>
  <si>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</si>
  <si>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</si>
  <si>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</si>
  <si>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</si>
  <si>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</si>
  <si>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</si>
  <si>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</si>
  <si>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</si>
  <si>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</si>
  <si>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</si>
  <si>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</si>
  <si>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</si>
  <si>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</si>
  <si>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</si>
  <si>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</si>
  <si>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</si>
  <si>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</si>
  <si>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</si>
  <si>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</si>
  <si>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</si>
  <si>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</si>
  <si>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</si>
  <si>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</si>
  <si>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</si>
  <si>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</si>
  <si>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</si>
  <si>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</si>
  <si>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</si>
  <si>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</si>
  <si>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</si>
  <si>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</si>
  <si>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</si>
  <si>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</si>
  <si>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</si>
  <si>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</si>
  <si>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</si>
  <si>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</si>
  <si>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</si>
  <si>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</si>
  <si>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</si>
  <si>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</si>
  <si>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</si>
  <si>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</si>
  <si>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</si>
  <si>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</si>
  <si>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</si>
  <si>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</si>
  <si>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</si>
  <si>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</si>
  <si>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</si>
  <si>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</si>
  <si>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</si>
  <si>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</si>
  <si>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</si>
  <si>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</si>
  <si>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</si>
  <si>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</si>
  <si>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</si>
  <si>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</si>
  <si>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</si>
  <si>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</si>
  <si>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</si>
  <si>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</si>
  <si>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</si>
  <si>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</si>
  <si>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</si>
  <si>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</si>
  <si>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</si>
  <si>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</si>
  <si>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</si>
  <si>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</si>
  <si>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</si>
  <si>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</si>
  <si>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</si>
  <si>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</si>
  <si>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</si>
  <si>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</si>
  <si>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</si>
  <si>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</si>
  <si>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</si>
  <si>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</si>
  <si>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</si>
  <si>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</si>
  <si>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</si>
  <si>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</si>
  <si>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</si>
  <si>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</si>
  <si>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</si>
  <si>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</si>
  <si>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</si>
  <si>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</si>
  <si>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</si>
  <si>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</si>
  <si>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</si>
  <si>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</si>
  <si>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</si>
  <si>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</si>
  <si>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</si>
  <si>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</si>
  <si>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</si>
  <si>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</si>
  <si>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</si>
  <si>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</si>
  <si>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</si>
  <si>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</si>
  <si>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</si>
  <si>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</si>
  <si>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</si>
  <si>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</si>
  <si>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</si>
  <si>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</si>
  <si>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</si>
  <si>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</si>
  <si>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</si>
  <si>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</si>
  <si>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</si>
  <si>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</si>
  <si>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</si>
  <si>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</si>
  <si>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</si>
  <si>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</si>
  <si>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</si>
  <si>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</si>
  <si>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</si>
  <si>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</si>
  <si>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</si>
  <si>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</si>
  <si>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</si>
  <si>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</si>
  <si>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</si>
  <si>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</si>
  <si>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</si>
  <si>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</si>
  <si>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</si>
  <si>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</si>
  <si>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</si>
  <si>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</si>
  <si>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</si>
  <si>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</si>
  <si>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</si>
  <si>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</si>
  <si>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</si>
  <si>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</si>
  <si>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</si>
  <si>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</si>
  <si>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</si>
  <si>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</si>
  <si>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</si>
  <si>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</si>
  <si>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</si>
  <si>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</si>
  <si>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</si>
  <si>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</si>
  <si>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</si>
  <si>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</si>
  <si>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</si>
  <si>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</si>
  <si>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</si>
  <si>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</si>
  <si>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</si>
  <si>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</si>
  <si>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</si>
  <si>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</si>
  <si>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</si>
  <si>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</si>
  <si>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</si>
  <si>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</si>
  <si>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</si>
  <si>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</si>
  <si>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</si>
  <si>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</si>
  <si>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</si>
  <si>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</si>
  <si>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</si>
  <si>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</si>
  <si>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</si>
  <si>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</si>
  <si>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</si>
  <si>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</si>
  <si>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</si>
  <si>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</si>
  <si>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</si>
  <si>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</si>
  <si>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</si>
  <si>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</si>
  <si>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</si>
  <si>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</si>
  <si>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</si>
  <si>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</si>
  <si>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</si>
  <si>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</si>
  <si>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</si>
  <si>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</si>
  <si>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</si>
  <si>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</si>
  <si>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</si>
  <si>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</si>
  <si>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</si>
  <si>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</si>
  <si>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</si>
  <si>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</si>
  <si>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</si>
  <si>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</si>
  <si>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</si>
  <si>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</si>
  <si>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</si>
  <si>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</si>
  <si>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</si>
  <si>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</si>
  <si>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</si>
  <si>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</si>
  <si>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</si>
  <si>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</si>
  <si>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</si>
  <si>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</si>
  <si>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</si>
  <si>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</si>
  <si>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</si>
  <si>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</si>
  <si>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</si>
  <si>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</si>
  <si>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</si>
  <si>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</si>
  <si>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</si>
  <si>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</si>
  <si>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</si>
  <si>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</si>
  <si>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</si>
  <si>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</si>
  <si>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</si>
  <si>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</si>
  <si>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</si>
  <si>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</si>
  <si>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</si>
  <si>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</si>
  <si>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</si>
  <si>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</si>
  <si>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</si>
  <si>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</si>
  <si>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</si>
  <si>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</si>
  <si>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</si>
  <si>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</si>
  <si>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</si>
  <si>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</si>
  <si>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</si>
  <si>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</si>
  <si>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</si>
  <si>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</si>
  <si>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</si>
  <si>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</si>
  <si>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</si>
  <si>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</si>
  <si>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</si>
  <si>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</si>
  <si>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</si>
  <si>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</si>
  <si>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</si>
  <si>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</si>
  <si>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</si>
  <si>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</si>
  <si>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</si>
  <si>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</si>
  <si>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</si>
  <si>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</si>
  <si>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</si>
  <si>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</si>
  <si>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</si>
  <si>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</si>
  <si>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</si>
  <si>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</si>
  <si>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</si>
  <si>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</si>
  <si>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</si>
  <si>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</si>
  <si>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</si>
  <si>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</si>
  <si>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</si>
  <si>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</si>
  <si>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</si>
  <si>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</si>
  <si>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</si>
  <si>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</si>
  <si>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</si>
  <si>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</si>
  <si>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</si>
  <si>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</si>
  <si>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</si>
  <si>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</si>
  <si>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</si>
  <si>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</si>
  <si>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</si>
  <si>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</si>
  <si>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</si>
  <si>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</si>
  <si>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</si>
  <si>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</si>
  <si>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</si>
  <si>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</si>
  <si>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</si>
  <si>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</si>
  <si>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</si>
  <si>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</si>
  <si>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</si>
  <si>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</si>
  <si>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</si>
  <si>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</si>
  <si>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</si>
  <si>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</si>
  <si>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</si>
  <si>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</si>
  <si>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</si>
  <si>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</si>
  <si>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</si>
  <si>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</si>
  <si>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</si>
  <si>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</si>
  <si>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</si>
  <si>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</si>
  <si>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</si>
  <si>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</si>
  <si>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</si>
  <si>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</si>
  <si>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</si>
  <si>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</si>
  <si>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</si>
  <si>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</si>
  <si>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</si>
  <si>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</si>
  <si>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</si>
  <si>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</si>
  <si>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</si>
  <si>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</si>
  <si>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</si>
  <si>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</si>
  <si>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</si>
  <si>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</si>
  <si>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</si>
  <si>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</si>
  <si>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</si>
  <si>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</si>
  <si>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</si>
  <si>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</si>
  <si>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</si>
  <si>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</si>
  <si>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</si>
  <si>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</si>
  <si>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</si>
  <si>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</si>
  <si>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</si>
  <si>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</si>
  <si>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</si>
  <si>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</si>
  <si>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</si>
  <si>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</si>
  <si>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</si>
  <si>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</si>
  <si>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</si>
  <si>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</si>
  <si>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</si>
  <si>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</si>
  <si>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</si>
  <si>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</si>
  <si>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</si>
  <si>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</si>
  <si>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</si>
  <si>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</si>
  <si>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</si>
  <si>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</si>
  <si>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</si>
  <si>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</si>
  <si>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</si>
  <si>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</si>
  <si>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</si>
  <si>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</si>
  <si>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</si>
  <si>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</si>
  <si>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</si>
  <si>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</si>
  <si>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</si>
  <si>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</si>
  <si>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</si>
  <si>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</si>
  <si>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</si>
  <si>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</si>
  <si>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</si>
  <si>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</si>
  <si>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</si>
  <si>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</si>
  <si>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</si>
  <si>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</si>
  <si>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</si>
  <si>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</si>
  <si>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</si>
  <si>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</si>
  <si>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</si>
  <si>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</si>
  <si>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</si>
  <si>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</si>
  <si>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</si>
  <si>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</si>
  <si>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</si>
  <si>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</si>
  <si>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</si>
  <si>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</si>
  <si>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</si>
  <si>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</si>
  <si>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</si>
  <si>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</si>
  <si>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</si>
  <si>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</si>
  <si>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</si>
  <si>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</si>
  <si>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</si>
  <si>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</si>
  <si>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</si>
  <si>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</si>
  <si>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</si>
  <si>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</si>
  <si>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</si>
  <si>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</si>
  <si>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</si>
  <si>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</si>
  <si>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</si>
  <si>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</si>
  <si>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</si>
  <si>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</si>
  <si>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</si>
  <si>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</si>
  <si>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</si>
  <si>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</si>
  <si>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</si>
  <si>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</si>
  <si>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</si>
  <si>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</si>
  <si>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</si>
  <si>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</si>
  <si>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</si>
  <si>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</si>
  <si>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</si>
  <si>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</si>
  <si>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</si>
  <si>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</si>
  <si>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</si>
  <si>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</si>
  <si>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</si>
  <si>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</si>
  <si>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</si>
  <si>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</si>
  <si>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</si>
  <si>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</si>
  <si>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</si>
  <si>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</si>
  <si>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</si>
  <si>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</si>
  <si>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</si>
  <si>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</si>
  <si>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</si>
  <si>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</si>
  <si>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</si>
  <si>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</si>
  <si>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</si>
  <si>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</si>
  <si>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</si>
  <si>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</si>
  <si>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</si>
  <si>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</si>
  <si>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</si>
  <si>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</si>
  <si>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</si>
  <si>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</si>
  <si>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</si>
  <si>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</si>
  <si>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</si>
  <si>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</si>
  <si>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</si>
  <si>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</si>
  <si>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</si>
  <si>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</si>
  <si>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</si>
  <si>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</si>
  <si>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</si>
  <si>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</si>
  <si>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</si>
  <si>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</si>
  <si>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</si>
  <si>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</si>
  <si>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</si>
  <si>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</si>
  <si>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</si>
  <si>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</si>
  <si>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</si>
  <si>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</si>
  <si>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</si>
  <si>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</si>
  <si>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</si>
  <si>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</si>
  <si>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</si>
  <si>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</si>
  <si>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</si>
  <si>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</si>
  <si>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</si>
  <si>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</si>
  <si>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</si>
  <si>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</si>
  <si>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</si>
  <si>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</si>
  <si>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</si>
  <si>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</si>
  <si>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</si>
  <si>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</si>
  <si>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</si>
  <si>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</si>
  <si>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</si>
  <si>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</si>
  <si>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</si>
  <si>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</si>
  <si>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</si>
  <si>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</si>
  <si>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</si>
  <si>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</si>
  <si>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</si>
  <si>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</si>
  <si>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</si>
  <si>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</si>
  <si>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</si>
  <si>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</si>
  <si>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</si>
  <si>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</si>
  <si>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</si>
  <si>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</si>
  <si>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</si>
  <si>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</si>
  <si>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</si>
  <si>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</si>
  <si>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</si>
  <si>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</si>
  <si>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</si>
  <si>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</si>
  <si>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</si>
  <si>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</si>
  <si>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</si>
  <si>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</si>
  <si>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</si>
  <si>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</si>
  <si>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</si>
  <si>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</si>
  <si>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</si>
  <si>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</si>
  <si>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</si>
  <si>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</si>
  <si>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</si>
  <si>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</si>
  <si>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</si>
  <si>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</si>
  <si>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</si>
  <si>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</si>
  <si>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</si>
  <si>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</si>
  <si>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</si>
  <si>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</si>
  <si>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</si>
  <si>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</si>
  <si>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</si>
  <si>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</si>
  <si>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</si>
  <si>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</si>
  <si>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</si>
  <si>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</si>
  <si>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</si>
  <si>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</si>
  <si>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</si>
  <si>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</si>
  <si>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</si>
  <si>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</si>
  <si>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</si>
  <si>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</si>
  <si>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</si>
  <si>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</si>
  <si>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</si>
  <si>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</si>
  <si>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</si>
  <si>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</si>
  <si>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</si>
  <si>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</si>
  <si>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</si>
  <si>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</si>
  <si>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</si>
  <si>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</si>
  <si>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</si>
  <si>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</si>
  <si>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</si>
  <si>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</si>
  <si>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</si>
  <si>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</si>
  <si>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</si>
  <si>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</si>
  <si>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</si>
  <si>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</si>
  <si>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</si>
  <si>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</si>
  <si>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</si>
  <si>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</si>
  <si>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</si>
  <si>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</si>
  <si>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</si>
  <si>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</si>
  <si>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</si>
  <si>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</si>
  <si>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</si>
  <si>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</si>
  <si>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</si>
  <si>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</si>
  <si>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</si>
  <si>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</si>
  <si>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</si>
  <si>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</si>
  <si>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</si>
  <si>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</si>
  <si>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</si>
  <si>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</si>
  <si>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</si>
  <si>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</si>
  <si>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</si>
  <si>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</si>
  <si>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</si>
  <si>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</si>
  <si>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</si>
  <si>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</si>
  <si>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</si>
  <si>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</si>
  <si>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</si>
  <si>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</si>
  <si>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</si>
  <si>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</si>
  <si>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</si>
  <si>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</si>
  <si>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</si>
  <si>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</si>
  <si>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</si>
  <si>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</si>
  <si>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</si>
  <si>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</si>
  <si>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</si>
  <si>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</si>
  <si>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</si>
  <si>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</si>
  <si>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</si>
  <si>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</si>
  <si>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</si>
  <si>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</si>
  <si>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</si>
  <si>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</si>
  <si>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</si>
  <si>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</si>
  <si>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</si>
  <si>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</si>
  <si>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</si>
  <si>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</si>
  <si>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</si>
  <si>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</si>
  <si>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</si>
  <si>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</si>
  <si>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</si>
  <si>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</si>
  <si>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</si>
  <si>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</si>
  <si>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</si>
  <si>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</si>
  <si>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</si>
  <si>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</si>
  <si>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</si>
  <si>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</si>
  <si>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</si>
  <si>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</si>
  <si>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</si>
  <si>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</si>
  <si>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</si>
  <si>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</si>
  <si>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</si>
  <si>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</si>
  <si>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</si>
  <si>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</si>
  <si>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</si>
  <si>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</si>
  <si>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</si>
  <si>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</si>
  <si>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</si>
  <si>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</si>
  <si>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</si>
  <si>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</si>
  <si>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</si>
  <si>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</si>
  <si>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</si>
  <si>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</si>
  <si>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</si>
  <si>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</si>
  <si>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</si>
  <si>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</si>
  <si>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</si>
  <si>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</si>
  <si>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</si>
  <si>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</si>
  <si>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</si>
  <si>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</si>
  <si>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</si>
  <si>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</si>
  <si>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</si>
  <si>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</si>
  <si>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</si>
  <si>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</si>
  <si>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</si>
  <si>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</si>
  <si>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</si>
  <si>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</si>
  <si>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</si>
  <si>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</si>
  <si>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</si>
  <si>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</si>
  <si>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</si>
  <si>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</si>
  <si>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</si>
  <si>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</si>
  <si>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</si>
  <si>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</si>
  <si>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</si>
  <si>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</si>
  <si>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</si>
  <si>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</si>
  <si>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</si>
  <si>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</si>
  <si>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</si>
  <si>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</si>
  <si>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</si>
  <si>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</si>
  <si>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</si>
  <si>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</si>
  <si>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</si>
  <si>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</si>
  <si>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</si>
  <si>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</si>
  <si>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</si>
  <si>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</si>
  <si>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</si>
  <si>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</si>
  <si>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</si>
  <si>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</si>
  <si>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</si>
  <si>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</si>
  <si>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</si>
  <si>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</si>
  <si>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</si>
  <si>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</si>
  <si>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</si>
  <si>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</si>
  <si>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</si>
  <si>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</si>
  <si>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</si>
  <si>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</si>
  <si>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</si>
  <si>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</si>
  <si>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</si>
  <si>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</si>
  <si>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</si>
  <si>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</si>
  <si>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</si>
  <si>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</si>
  <si>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</si>
  <si>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</si>
  <si>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</si>
  <si>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</si>
  <si>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</si>
  <si>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</si>
  <si>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</si>
  <si>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</si>
  <si>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</si>
  <si>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</si>
  <si>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</si>
  <si>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</si>
  <si>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</si>
  <si>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</si>
  <si>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</si>
  <si>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</si>
  <si>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</si>
  <si>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</si>
  <si>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</si>
  <si>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</si>
  <si>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</si>
  <si>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</si>
  <si>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</si>
  <si>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</si>
  <si>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</si>
  <si>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</si>
  <si>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</si>
  <si>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</si>
  <si>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</si>
  <si>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</si>
  <si>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</si>
  <si>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</si>
  <si>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</si>
  <si>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</si>
  <si>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</si>
  <si>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</si>
  <si>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</si>
  <si>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</si>
  <si>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</si>
  <si>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</si>
  <si>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</si>
  <si>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</si>
  <si>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</si>
  <si>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</si>
  <si>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</si>
  <si>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</si>
  <si>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</si>
  <si>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</si>
  <si>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</si>
  <si>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</si>
  <si>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</si>
  <si>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</si>
  <si>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</si>
  <si>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</si>
  <si>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</si>
  <si>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</si>
  <si>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</si>
  <si>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</si>
  <si>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</si>
  <si>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</si>
  <si>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</si>
  <si>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</si>
  <si>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</si>
  <si>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</si>
  <si>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</si>
  <si>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</si>
  <si>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</si>
  <si>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</si>
  <si>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</si>
  <si>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</si>
  <si>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</si>
  <si>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</si>
  <si>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</si>
  <si>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</si>
  <si>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</si>
  <si>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</si>
  <si>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</si>
  <si>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</si>
  <si>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</si>
  <si>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</si>
  <si>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</si>
  <si>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</si>
  <si>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</si>
  <si>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</si>
  <si>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</si>
  <si>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</si>
  <si>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</si>
  <si>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</si>
  <si>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</si>
  <si>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</si>
  <si>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</si>
  <si>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</si>
  <si>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</si>
  <si>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</si>
  <si>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</si>
  <si>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</si>
  <si>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</si>
  <si>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</si>
  <si>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</si>
  <si>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</si>
  <si>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</si>
  <si>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</si>
  <si>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</si>
  <si>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</si>
  <si>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</si>
  <si>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</si>
  <si>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</si>
  <si>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</si>
  <si>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</si>
  <si>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</si>
  <si>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</si>
  <si>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</si>
  <si>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</si>
  <si>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</si>
  <si>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</si>
  <si>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</si>
  <si>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</si>
  <si>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</si>
  <si>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</si>
  <si>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</si>
  <si>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</si>
  <si>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</si>
  <si>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</si>
  <si>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</si>
  <si>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</si>
  <si>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</si>
  <si>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</si>
  <si>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</si>
  <si>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</si>
  <si>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</si>
  <si>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</si>
  <si>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</si>
  <si>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</si>
  <si>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</si>
  <si>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</si>
  <si>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</si>
  <si>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</si>
  <si>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</si>
  <si>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</si>
  <si>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</si>
  <si>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</si>
  <si>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</si>
  <si>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</si>
  <si>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</si>
  <si>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</si>
  <si>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</si>
  <si>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</si>
  <si>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</si>
  <si>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</si>
  <si>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</si>
  <si>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</si>
  <si>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</si>
  <si>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</si>
  <si>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</si>
  <si>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</si>
  <si>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</si>
  <si>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</si>
  <si>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</si>
  <si>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</si>
  <si>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</si>
  <si>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</si>
  <si>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</si>
  <si>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</si>
  <si>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</si>
  <si>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</si>
  <si>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</si>
  <si>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</si>
  <si>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</si>
  <si>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</si>
  <si>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</si>
  <si>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</si>
  <si>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</si>
  <si>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</si>
  <si>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</si>
  <si>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</si>
  <si>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</si>
  <si>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</si>
  <si>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</si>
  <si>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</si>
  <si>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</si>
  <si>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</si>
  <si>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</si>
  <si>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</si>
  <si>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</si>
  <si>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</si>
  <si>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</si>
  <si>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</si>
  <si>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</si>
  <si>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</si>
  <si>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</si>
  <si>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</si>
  <si>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</si>
  <si>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</si>
  <si>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</si>
  <si>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</si>
  <si>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</si>
  <si>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</si>
  <si>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</si>
  <si>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</si>
  <si>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</si>
  <si>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</si>
  <si>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</si>
  <si>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</si>
  <si>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</si>
  <si>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</si>
  <si>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</si>
  <si>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</si>
  <si>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</si>
  <si>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</si>
  <si>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</si>
  <si>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</si>
  <si>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</si>
  <si>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</si>
  <si>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</si>
  <si>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</si>
  <si>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</si>
  <si>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</si>
  <si>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</si>
  <si>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</si>
  <si>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</si>
  <si>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</si>
  <si>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</si>
  <si>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</si>
  <si>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</si>
  <si>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</si>
  <si>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</si>
  <si>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</si>
  <si>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</si>
  <si>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</si>
  <si>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</si>
  <si>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</si>
  <si>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</si>
  <si>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</si>
  <si>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</si>
  <si>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</si>
  <si>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</si>
  <si>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</si>
  <si>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</si>
  <si>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</si>
  <si>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</si>
  <si>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</si>
  <si>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</si>
  <si>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</si>
  <si>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</si>
  <si>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</si>
  <si>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</si>
  <si>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</si>
  <si>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</si>
  <si>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</si>
  <si>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</si>
  <si>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</si>
  <si>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</si>
  <si>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</si>
  <si>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</si>
  <si>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</si>
  <si>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</si>
  <si>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</si>
  <si>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</si>
  <si>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</si>
  <si>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</si>
  <si>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</si>
  <si>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</si>
  <si>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</si>
  <si>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</si>
  <si>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</si>
  <si>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</si>
  <si>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</si>
  <si>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</si>
  <si>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</si>
  <si>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</si>
  <si>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</si>
  <si>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</si>
  <si>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</si>
  <si>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</si>
  <si>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</si>
  <si>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</si>
  <si>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</si>
  <si>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</si>
  <si>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</si>
  <si>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</si>
  <si>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</si>
  <si>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</si>
  <si>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</si>
  <si>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</si>
  <si>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</si>
  <si>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</si>
  <si>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</si>
  <si>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</si>
  <si>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</si>
  <si>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</si>
  <si>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</si>
  <si>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</si>
  <si>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</si>
  <si>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</si>
  <si>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</si>
  <si>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</si>
  <si>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</si>
  <si>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</si>
  <si>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</si>
  <si>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</si>
  <si>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</si>
  <si>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</si>
  <si>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</si>
  <si>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</si>
  <si>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</si>
  <si>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</si>
  <si>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</si>
  <si>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</si>
  <si>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</si>
  <si>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</si>
  <si>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</si>
  <si>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</si>
  <si>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</si>
  <si>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</si>
  <si>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</si>
  <si>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</si>
  <si>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</si>
  <si>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</si>
  <si>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</si>
  <si>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</si>
  <si>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</si>
  <si>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</si>
  <si>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</si>
  <si>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</si>
  <si>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</si>
  <si>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</si>
  <si>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</si>
  <si>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</si>
  <si>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</si>
  <si>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</si>
  <si>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</si>
  <si>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</si>
  <si>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</si>
  <si>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</si>
  <si>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</si>
  <si>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</si>
  <si>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</si>
  <si>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</si>
  <si>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</si>
  <si>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</si>
  <si>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</si>
  <si>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</si>
  <si>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</si>
  <si>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</si>
  <si>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</si>
  <si>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</si>
  <si>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</si>
  <si>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</si>
  <si>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</si>
  <si>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</si>
  <si>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</si>
  <si>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</si>
  <si>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</si>
  <si>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</si>
  <si>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</si>
  <si>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</si>
  <si>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</si>
  <si>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</si>
  <si>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</si>
  <si>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</si>
  <si>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</si>
  <si>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</si>
  <si>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</si>
  <si>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</si>
  <si>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</si>
  <si>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</si>
  <si>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</si>
  <si>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</si>
  <si>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</si>
  <si>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</si>
  <si>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</si>
  <si>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</si>
  <si>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</si>
  <si>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</si>
  <si>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</si>
  <si>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</si>
  <si>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</si>
  <si>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</si>
  <si>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</si>
  <si>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</si>
  <si>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</si>
  <si>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</si>
  <si>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</si>
  <si>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</si>
  <si>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</si>
  <si>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</si>
  <si>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</si>
  <si>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</si>
  <si>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</si>
  <si>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</si>
  <si>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</si>
  <si>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</si>
  <si>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</si>
  <si>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</si>
  <si>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</si>
  <si>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</si>
  <si>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</si>
  <si>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</si>
  <si>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</si>
  <si>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</si>
  <si>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</si>
  <si>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</si>
  <si>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</si>
  <si>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</si>
  <si>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</si>
  <si>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</si>
  <si>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</si>
  <si>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</si>
  <si>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</si>
  <si>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</si>
  <si>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</si>
  <si>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</si>
  <si>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</si>
  <si>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</si>
  <si>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</si>
  <si>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</si>
  <si>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</si>
  <si>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</si>
  <si>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</si>
  <si>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</si>
  <si>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</si>
  <si>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</si>
  <si>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</si>
  <si>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</si>
  <si>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</si>
  <si>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</si>
  <si>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</si>
  <si>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</si>
  <si>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</si>
  <si>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</si>
  <si>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</si>
  <si>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</si>
  <si>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</si>
  <si>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</si>
  <si>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</si>
  <si>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</si>
  <si>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</si>
  <si>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</si>
  <si>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</si>
  <si>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</si>
  <si>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</si>
  <si>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</si>
  <si>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</si>
  <si>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</si>
  <si>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</si>
  <si>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</si>
  <si>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</si>
  <si>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</si>
  <si>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</si>
  <si>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</si>
  <si>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</si>
  <si>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</si>
  <si>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</si>
  <si>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</si>
  <si>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</si>
  <si>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</si>
  <si>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</si>
  <si>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</si>
  <si>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</si>
  <si>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</si>
  <si>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</si>
  <si>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</si>
  <si>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</si>
  <si>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</si>
  <si>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</si>
  <si>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</si>
  <si>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</si>
  <si>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</si>
  <si>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</si>
  <si>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</si>
  <si>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</si>
  <si>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</si>
  <si>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</si>
  <si>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</si>
  <si>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</si>
  <si>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</si>
  <si>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</si>
  <si>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</si>
  <si>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</si>
  <si>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</si>
  <si>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</si>
  <si>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</si>
  <si>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</si>
  <si>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</si>
  <si>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</si>
  <si>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</si>
  <si>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</si>
  <si>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</si>
  <si>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</si>
  <si>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</si>
  <si>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</si>
  <si>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</si>
  <si>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</si>
  <si>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</si>
  <si>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</si>
  <si>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</si>
  <si>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</si>
  <si>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</si>
  <si>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</si>
  <si>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</si>
  <si>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</si>
  <si>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</si>
  <si>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</si>
  <si>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</si>
  <si>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</si>
  <si>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</si>
  <si>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</si>
  <si>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</si>
  <si>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</si>
  <si>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</si>
  <si>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</si>
  <si>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</si>
  <si>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</si>
  <si>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</si>
  <si>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</si>
  <si>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</si>
  <si>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</si>
  <si>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</si>
  <si>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</si>
  <si>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</si>
  <si>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</si>
  <si>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</si>
  <si>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</si>
  <si>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</si>
  <si>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</si>
  <si>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</si>
  <si>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</si>
  <si>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</si>
  <si>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</si>
  <si>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</si>
  <si>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</si>
  <si>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</si>
  <si>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</si>
  <si>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</si>
  <si>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</si>
  <si>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</si>
  <si>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</si>
  <si>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</si>
  <si>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</si>
  <si>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</si>
  <si>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</si>
  <si>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</si>
  <si>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</si>
  <si>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</si>
  <si>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</si>
  <si>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</si>
  <si>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</si>
  <si>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</si>
  <si>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</si>
  <si>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</si>
  <si>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</si>
  <si>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</si>
  <si>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</si>
  <si>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</si>
  <si>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</si>
  <si>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</si>
  <si>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</si>
  <si>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</si>
  <si>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</si>
  <si>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</si>
  <si>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</si>
  <si>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</si>
  <si>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</si>
  <si>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</si>
  <si>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</si>
  <si>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</si>
  <si>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</si>
  <si>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</si>
  <si>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</si>
  <si>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</si>
  <si>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</si>
  <si>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</si>
  <si>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</si>
  <si>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</si>
  <si>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</si>
  <si>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</si>
  <si>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</si>
  <si>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</si>
  <si>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</si>
  <si>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</si>
  <si>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</si>
  <si>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</si>
  <si>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</si>
  <si>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</si>
  <si>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</si>
  <si>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</si>
  <si>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</si>
  <si>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</si>
  <si>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</si>
  <si>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</si>
  <si>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</si>
  <si>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</si>
  <si>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</si>
  <si>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</si>
  <si>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</si>
  <si>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</si>
  <si>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</si>
  <si>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</si>
  <si>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</si>
  <si>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</si>
  <si>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</si>
  <si>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</si>
  <si>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</si>
  <si>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</si>
  <si>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</si>
  <si>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</si>
  <si>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</si>
  <si>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</si>
  <si>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</si>
  <si>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</si>
  <si>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</si>
  <si>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</si>
  <si>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</si>
  <si>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</si>
  <si>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</si>
  <si>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</si>
  <si>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</si>
  <si>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</si>
  <si>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</si>
  <si>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</si>
  <si>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</si>
  <si>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</si>
  <si>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</si>
  <si>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</si>
  <si>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</si>
  <si>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</si>
  <si>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</si>
  <si>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</si>
  <si>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</si>
  <si>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</si>
  <si>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</si>
  <si>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</si>
  <si>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</si>
  <si>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</si>
  <si>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</si>
  <si>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</si>
  <si>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</si>
  <si>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</si>
  <si>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</si>
  <si>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</si>
  <si>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</si>
  <si>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</si>
  <si>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</si>
  <si>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</si>
  <si>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</si>
  <si>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</si>
  <si>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</si>
  <si>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</si>
  <si>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</si>
  <si>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</si>
  <si>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</si>
  <si>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</si>
  <si>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</si>
  <si>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</si>
  <si>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</si>
  <si>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</si>
  <si>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</si>
  <si>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</si>
  <si>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</si>
  <si>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</si>
  <si>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</si>
  <si>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</si>
  <si>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</si>
  <si>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</si>
  <si>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</si>
  <si>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</si>
  <si>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</si>
  <si>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</si>
  <si>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</si>
  <si>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</si>
  <si>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</si>
  <si>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</si>
  <si>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</si>
  <si>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</si>
  <si>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</si>
  <si>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</si>
  <si>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</si>
  <si>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</si>
  <si>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</si>
  <si>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</si>
  <si>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</si>
  <si>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</si>
  <si>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</si>
  <si>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</si>
  <si>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</si>
  <si>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</si>
  <si>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</si>
  <si>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</si>
  <si>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</si>
  <si>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</si>
  <si>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</si>
  <si>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</si>
  <si>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</si>
  <si>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</si>
  <si>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</si>
  <si>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</si>
  <si>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</si>
  <si>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</si>
  <si>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</si>
  <si>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</si>
  <si>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</si>
  <si>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</si>
  <si>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</si>
  <si>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</si>
  <si>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</si>
  <si>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</si>
  <si>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</si>
  <si>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</si>
  <si>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</si>
  <si>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</si>
  <si>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</si>
  <si>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</si>
  <si>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</si>
  <si>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</si>
  <si>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</si>
  <si>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</si>
  <si>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</si>
  <si>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</si>
  <si>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</si>
  <si>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</si>
  <si>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</si>
  <si>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</si>
  <si>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</si>
  <si>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</si>
  <si>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</si>
  <si>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</si>
  <si>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</si>
  <si>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</si>
  <si>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</si>
  <si>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</si>
  <si>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</si>
  <si>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</si>
  <si>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</si>
  <si>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</si>
  <si>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</si>
  <si>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</si>
  <si>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</si>
  <si>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</si>
  <si>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</si>
  <si>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</si>
  <si>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</si>
  <si>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</si>
  <si>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</si>
  <si>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</si>
  <si>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</si>
  <si>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</si>
  <si>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</si>
  <si>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</si>
  <si>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</si>
  <si>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</si>
  <si>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</si>
  <si>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</si>
  <si>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</si>
  <si>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</si>
  <si>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</si>
  <si>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</si>
  <si>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</si>
  <si>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</si>
  <si>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</si>
  <si>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</si>
  <si>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</si>
  <si>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</si>
  <si>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</si>
  <si>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</si>
  <si>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</si>
  <si>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</si>
  <si>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</si>
  <si>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</si>
  <si>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</si>
  <si>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</si>
  <si>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</si>
  <si>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</si>
  <si>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</si>
  <si>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</si>
  <si>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</si>
  <si>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</si>
  <si>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</si>
  <si>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</si>
  <si>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</si>
  <si>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</si>
  <si>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</si>
  <si>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</si>
  <si>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</si>
  <si>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</si>
  <si>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</si>
  <si>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</si>
  <si>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</si>
  <si>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</si>
  <si>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</si>
  <si>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</si>
  <si>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</si>
  <si>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</si>
  <si>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</si>
  <si>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</si>
  <si>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</si>
  <si>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</si>
  <si>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</si>
  <si>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</si>
  <si>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</si>
  <si>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</si>
  <si>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</si>
  <si>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</si>
  <si>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</si>
  <si>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</si>
  <si>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</si>
  <si>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</si>
  <si>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</si>
  <si>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</si>
  <si>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</si>
  <si>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</si>
  <si>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</si>
  <si>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</si>
  <si>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</si>
  <si>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</si>
  <si>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</si>
  <si>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</si>
  <si>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</si>
  <si>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</si>
  <si>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</si>
  <si>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</si>
  <si>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</si>
  <si>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</si>
  <si>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</si>
  <si>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</si>
  <si>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</si>
  <si>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</si>
  <si>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</si>
  <si>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</si>
  <si>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</si>
  <si>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</si>
  <si>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</si>
  <si>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</si>
  <si>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</si>
  <si>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</si>
  <si>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</si>
  <si>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</si>
  <si>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</si>
  <si>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</si>
  <si>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</si>
  <si>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</si>
  <si>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</si>
  <si>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</si>
  <si>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</si>
  <si>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</si>
  <si>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</si>
  <si>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</si>
  <si>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</si>
  <si>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</si>
  <si>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</si>
  <si>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</si>
  <si>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</si>
  <si>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</si>
  <si>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</si>
  <si>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</si>
  <si>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</si>
  <si>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</si>
  <si>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</si>
  <si>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</si>
  <si>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</si>
  <si>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</si>
  <si>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</si>
  <si>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</si>
  <si>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</si>
  <si>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</si>
  <si>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</si>
  <si>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</si>
  <si>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</si>
  <si>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</si>
  <si>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</si>
  <si>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</si>
  <si>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</si>
  <si>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</si>
  <si>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</si>
  <si>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</si>
  <si>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</si>
  <si>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</si>
  <si>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</si>
  <si>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</si>
  <si>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</si>
  <si>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</si>
  <si>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</si>
  <si>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</si>
  <si>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</si>
  <si>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</si>
  <si>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</si>
  <si>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</si>
  <si>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</si>
  <si>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</si>
  <si>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</si>
  <si>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</si>
  <si>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</si>
  <si>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</si>
  <si>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</si>
  <si>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</si>
  <si>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</si>
  <si>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</si>
  <si>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</si>
  <si>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</si>
  <si>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</si>
  <si>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</si>
  <si>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</si>
  <si>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</si>
  <si>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</si>
  <si>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</si>
  <si>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</si>
  <si>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</si>
  <si>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</si>
  <si>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</si>
  <si>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</si>
  <si>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</si>
  <si>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</si>
  <si>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</si>
  <si>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</si>
  <si>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</si>
  <si>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</si>
  <si>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</si>
  <si>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</si>
  <si>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</si>
  <si>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</si>
  <si>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</si>
  <si>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</si>
  <si>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</si>
  <si>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</si>
  <si>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</si>
  <si>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</si>
  <si>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</si>
  <si>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</si>
  <si>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</si>
  <si>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</si>
  <si>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</si>
  <si>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</si>
  <si>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</si>
  <si>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</si>
  <si>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</si>
  <si>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</si>
  <si>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</si>
  <si>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</si>
  <si>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</si>
  <si>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</si>
  <si>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</si>
  <si>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</si>
  <si>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</si>
  <si>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</si>
  <si>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</si>
  <si>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</si>
  <si>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</si>
  <si>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</si>
  <si>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</si>
  <si>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</si>
  <si>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</si>
  <si>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</si>
  <si>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</si>
  <si>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</si>
  <si>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</si>
  <si>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</si>
  <si>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</si>
  <si>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</si>
  <si>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</si>
  <si>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</si>
  <si>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</si>
  <si>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</si>
  <si>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</si>
  <si>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</si>
  <si>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</si>
  <si>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</si>
  <si>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</si>
  <si>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</si>
  <si>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</si>
  <si>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</si>
  <si>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</si>
  <si>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</si>
  <si>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</si>
  <si>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</si>
  <si>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</si>
  <si>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</si>
  <si>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</si>
  <si>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</si>
  <si>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</si>
  <si>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</si>
  <si>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</si>
  <si>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</si>
  <si>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</si>
  <si>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</si>
  <si>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</si>
  <si>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</si>
  <si>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</si>
  <si>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</si>
  <si>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</si>
  <si>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</si>
  <si>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</si>
  <si>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</si>
  <si>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</si>
  <si>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</si>
  <si>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</si>
  <si>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</si>
  <si>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</si>
  <si>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</si>
  <si>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</si>
  <si>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</si>
  <si>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</si>
  <si>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</si>
  <si>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</si>
  <si>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</si>
  <si>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</si>
  <si>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</si>
  <si>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</si>
  <si>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</si>
  <si>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</si>
  <si>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</si>
  <si>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</si>
  <si>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</si>
  <si>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</si>
  <si>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</si>
  <si>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</si>
  <si>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</si>
  <si>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</si>
  <si>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</si>
  <si>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</si>
  <si>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</si>
  <si>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</si>
  <si>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</si>
  <si>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</si>
  <si>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</si>
  <si>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</si>
  <si>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</si>
  <si>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</si>
  <si>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</si>
  <si>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</si>
  <si>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</si>
  <si>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</si>
  <si>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</si>
  <si>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</si>
  <si>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</si>
  <si>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</si>
  <si>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</si>
  <si>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</si>
  <si>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</si>
  <si>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</si>
  <si>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</si>
  <si>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</si>
  <si>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</si>
  <si>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</si>
  <si>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</si>
  <si>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</si>
  <si>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</si>
  <si>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</si>
  <si>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</si>
  <si>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</si>
  <si>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</si>
  <si>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</si>
  <si>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</si>
  <si>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</si>
  <si>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</si>
  <si>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</si>
  <si>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</si>
  <si>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</si>
  <si>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</si>
  <si>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</si>
  <si>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</si>
  <si>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</si>
  <si>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</si>
  <si>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</si>
  <si>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</si>
  <si>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</si>
  <si>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</si>
  <si>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</si>
  <si>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</si>
  <si>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</si>
  <si>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</si>
  <si>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</si>
  <si>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</si>
  <si>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</si>
  <si>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</si>
  <si>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</si>
  <si>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</si>
  <si>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</si>
  <si>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</si>
  <si>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</si>
  <si>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</si>
  <si>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</si>
  <si>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</si>
  <si>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</si>
  <si>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</si>
  <si>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</si>
  <si>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</si>
  <si>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</si>
  <si>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</si>
  <si>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</si>
  <si>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</si>
  <si>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</si>
  <si>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</si>
  <si>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</si>
  <si>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</si>
  <si>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</si>
  <si>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</si>
  <si>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</si>
  <si>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</si>
  <si>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</si>
  <si>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</si>
  <si>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</si>
  <si>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mid7Dec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</si>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</sst>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3058</v>
      </c>
      <c r="C3" t="s">
        <v>2433</v>
      </c>
      <c r="E3" t="s">
        <v>423</v>
      </c>
      <c r="F3" t="s">
        <v>3059</v>
      </c>
    </row>
    <row r="4" spans="2:6">
      <c r="B4" t="s">
        <v>3067</v>
      </c>
      <c r="C4" t="s">
        <v>3066</v>
      </c>
      <c r="D4" t="s">
        <v>3060</v>
      </c>
      <c r="E4" t="s">
        <v>3107</v>
      </c>
      <c r="F4" t="s">
        <v>3173</v>
      </c>
    </row>
    <row r="5" spans="2:6">
      <c r="B5" t="s">
        <v>3063</v>
      </c>
      <c r="D5" t="s">
        <v>3062</v>
      </c>
    </row>
    <row r="6" spans="2:6">
      <c r="C6" t="s">
        <v>3061</v>
      </c>
      <c r="D6" t="s">
        <v>3064</v>
      </c>
      <c r="E6" t="s">
        <v>315</v>
      </c>
      <c r="F6" s="213" t="s">
        <v>3082</v>
      </c>
    </row>
    <row r="7" spans="2:6" ht="25.5">
      <c r="C7" s="213" t="s">
        <v>3069</v>
      </c>
      <c r="D7" s="420" t="s">
        <v>3110</v>
      </c>
      <c r="E7" t="s">
        <v>3065</v>
      </c>
      <c r="F7" t="s">
        <v>3065</v>
      </c>
    </row>
    <row r="8" spans="2:6">
      <c r="C8" t="s">
        <v>3121</v>
      </c>
      <c r="D8" t="s">
        <v>3068</v>
      </c>
    </row>
    <row r="9" spans="2:6">
      <c r="D9" t="s">
        <v>3108</v>
      </c>
      <c r="E9" s="213" t="s">
        <v>3111</v>
      </c>
    </row>
    <row r="10" spans="2:6">
      <c r="D10" t="s">
        <v>2761</v>
      </c>
      <c r="E10" t="s">
        <v>3109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3179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3053</v>
      </c>
      <c r="C36" s="436"/>
      <c r="D36" s="317">
        <f>'HIS19'!KQ21</f>
        <v>1895.66</v>
      </c>
      <c r="E36" s="436"/>
      <c r="F36" s="443" t="s">
        <v>3053</v>
      </c>
      <c r="G36" s="436"/>
      <c r="H36" s="317">
        <f>'HIS19'!KQ22</f>
        <v>2121.2199999999998</v>
      </c>
      <c r="I36" s="436"/>
      <c r="J36" s="443" t="s">
        <v>3053</v>
      </c>
      <c r="K36" s="436"/>
      <c r="L36" s="317">
        <f>'HIS19'!KQ23</f>
        <v>2597.87</v>
      </c>
      <c r="M36" s="436"/>
      <c r="N36" s="443" t="s">
        <v>3053</v>
      </c>
      <c r="O36" s="436"/>
      <c r="P36" s="317">
        <f>'HIS19'!KQ24</f>
        <v>2650.71</v>
      </c>
      <c r="R36" s="443" t="s">
        <v>3053</v>
      </c>
      <c r="T36" s="317"/>
      <c r="V36" s="443" t="s">
        <v>3053</v>
      </c>
      <c r="W36" s="636"/>
      <c r="X36" s="317"/>
    </row>
    <row r="37" spans="1:24" s="436" customFormat="1">
      <c r="A37"/>
      <c r="B37" s="443" t="s">
        <v>3085</v>
      </c>
      <c r="C37"/>
      <c r="D37" s="317">
        <f>D36-D35</f>
        <v>-5.2876712328497888E-2</v>
      </c>
      <c r="E37"/>
      <c r="F37" s="443" t="s">
        <v>3085</v>
      </c>
      <c r="G37" s="404"/>
      <c r="H37" s="317">
        <f>H36-H35</f>
        <v>0.17890410958898428</v>
      </c>
      <c r="I37" s="404"/>
      <c r="J37" s="443" t="s">
        <v>3085</v>
      </c>
      <c r="K37" s="404"/>
      <c r="L37" s="317">
        <f>L36-L35</f>
        <v>6.1780821918091533E-2</v>
      </c>
      <c r="M37" s="404"/>
      <c r="N37" s="443" t="s">
        <v>3085</v>
      </c>
      <c r="O37" s="404"/>
      <c r="P37" s="317">
        <f>P36-P35</f>
        <v>-1.8767123287489085E-2</v>
      </c>
      <c r="R37" s="443" t="s">
        <v>3085</v>
      </c>
      <c r="S37" s="612"/>
      <c r="T37" s="317">
        <f>T36-T35</f>
        <v>-655.15342465753452</v>
      </c>
      <c r="V37" s="443" t="s">
        <v>3085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21" workbookViewId="0">
      <selection activeCell="O35" sqref="O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1">
        <f t="shared" ref="I33:J33" si="2">I30*I31/365*30</f>
        <v>73.972602739726014</v>
      </c>
      <c r="J33" s="641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205</v>
      </c>
      <c r="I34" s="341">
        <v>74</v>
      </c>
      <c r="J34" s="341">
        <v>66</v>
      </c>
      <c r="K34" s="638">
        <v>33</v>
      </c>
    </row>
    <row r="35" spans="2:11">
      <c r="B35" s="402">
        <f>AVERAGE(B3:B33)</f>
        <v>100000</v>
      </c>
      <c r="D35" s="707">
        <f>SUMPRODUCT(D3:D33,E3:E33)/365</f>
        <v>33.271145205479449</v>
      </c>
      <c r="E35" s="707"/>
      <c r="F35" s="403"/>
    </row>
    <row r="36" spans="2:11">
      <c r="B36" s="399" t="s">
        <v>2686</v>
      </c>
      <c r="D36" s="707" t="s">
        <v>2676</v>
      </c>
      <c r="E36" s="707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2" t="s">
        <v>124</v>
      </c>
      <c r="C1" s="652"/>
      <c r="D1" s="655" t="s">
        <v>292</v>
      </c>
      <c r="E1" s="655"/>
      <c r="F1" s="655" t="s">
        <v>341</v>
      </c>
      <c r="G1" s="655"/>
      <c r="H1" s="653" t="s">
        <v>127</v>
      </c>
      <c r="I1" s="653"/>
      <c r="J1" s="649" t="s">
        <v>292</v>
      </c>
      <c r="K1" s="649"/>
      <c r="L1" s="654" t="s">
        <v>520</v>
      </c>
      <c r="M1" s="654"/>
      <c r="N1" s="653" t="s">
        <v>146</v>
      </c>
      <c r="O1" s="653"/>
      <c r="P1" s="649" t="s">
        <v>293</v>
      </c>
      <c r="Q1" s="649"/>
      <c r="R1" s="654" t="s">
        <v>522</v>
      </c>
      <c r="S1" s="654"/>
      <c r="T1" s="643" t="s">
        <v>193</v>
      </c>
      <c r="U1" s="643"/>
      <c r="V1" s="649" t="s">
        <v>292</v>
      </c>
      <c r="W1" s="649"/>
      <c r="X1" s="648" t="s">
        <v>524</v>
      </c>
      <c r="Y1" s="648"/>
      <c r="Z1" s="643" t="s">
        <v>241</v>
      </c>
      <c r="AA1" s="643"/>
      <c r="AB1" s="650" t="s">
        <v>292</v>
      </c>
      <c r="AC1" s="650"/>
      <c r="AD1" s="651" t="s">
        <v>524</v>
      </c>
      <c r="AE1" s="651"/>
      <c r="AF1" s="643" t="s">
        <v>367</v>
      </c>
      <c r="AG1" s="643"/>
      <c r="AH1" s="650" t="s">
        <v>292</v>
      </c>
      <c r="AI1" s="650"/>
      <c r="AJ1" s="648" t="s">
        <v>530</v>
      </c>
      <c r="AK1" s="648"/>
      <c r="AL1" s="643" t="s">
        <v>389</v>
      </c>
      <c r="AM1" s="643"/>
      <c r="AN1" s="660" t="s">
        <v>292</v>
      </c>
      <c r="AO1" s="660"/>
      <c r="AP1" s="658" t="s">
        <v>531</v>
      </c>
      <c r="AQ1" s="658"/>
      <c r="AR1" s="643" t="s">
        <v>416</v>
      </c>
      <c r="AS1" s="643"/>
      <c r="AV1" s="658" t="s">
        <v>285</v>
      </c>
      <c r="AW1" s="658"/>
      <c r="AX1" s="661" t="s">
        <v>998</v>
      </c>
      <c r="AY1" s="661"/>
      <c r="AZ1" s="661"/>
      <c r="BA1" s="207"/>
      <c r="BB1" s="656">
        <v>42942</v>
      </c>
      <c r="BC1" s="657"/>
      <c r="BD1" s="65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2" t="s">
        <v>261</v>
      </c>
      <c r="U4" s="642"/>
      <c r="X4" s="119" t="s">
        <v>233</v>
      </c>
      <c r="Y4" s="123">
        <f>Y3-Y6</f>
        <v>4.9669099999591708</v>
      </c>
      <c r="Z4" s="642" t="s">
        <v>262</v>
      </c>
      <c r="AA4" s="642"/>
      <c r="AD4" s="154" t="s">
        <v>233</v>
      </c>
      <c r="AE4" s="154">
        <f>AE3-AE5</f>
        <v>-52.526899999851594</v>
      </c>
      <c r="AF4" s="642" t="s">
        <v>262</v>
      </c>
      <c r="AG4" s="642"/>
      <c r="AH4" s="143"/>
      <c r="AI4" s="143"/>
      <c r="AJ4" s="154" t="s">
        <v>233</v>
      </c>
      <c r="AK4" s="154">
        <f>AK3-AK5</f>
        <v>94.988909999992757</v>
      </c>
      <c r="AL4" s="642" t="s">
        <v>262</v>
      </c>
      <c r="AM4" s="642"/>
      <c r="AP4" s="170" t="s">
        <v>233</v>
      </c>
      <c r="AQ4" s="174">
        <f>AQ3-AQ5</f>
        <v>33.841989999942598</v>
      </c>
      <c r="AR4" s="642" t="s">
        <v>262</v>
      </c>
      <c r="AS4" s="642"/>
      <c r="AX4" s="642" t="s">
        <v>564</v>
      </c>
      <c r="AY4" s="642"/>
      <c r="BB4" s="642" t="s">
        <v>567</v>
      </c>
      <c r="BC4" s="6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2"/>
      <c r="U5" s="642"/>
      <c r="V5" s="3" t="s">
        <v>258</v>
      </c>
      <c r="W5">
        <v>2050</v>
      </c>
      <c r="X5" s="82"/>
      <c r="Z5" s="642"/>
      <c r="AA5" s="6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2"/>
      <c r="AG5" s="642"/>
      <c r="AH5" s="143"/>
      <c r="AI5" s="143"/>
      <c r="AJ5" s="154" t="s">
        <v>352</v>
      </c>
      <c r="AK5" s="162">
        <f>SUM(AK11:AK59)</f>
        <v>30858.011000000002</v>
      </c>
      <c r="AL5" s="642"/>
      <c r="AM5" s="6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2"/>
      <c r="AS5" s="642"/>
      <c r="AX5" s="642"/>
      <c r="AY5" s="642"/>
      <c r="BB5" s="642"/>
      <c r="BC5" s="642"/>
      <c r="BD5" s="659" t="s">
        <v>999</v>
      </c>
      <c r="BE5" s="659"/>
      <c r="BF5" s="659"/>
      <c r="BG5" s="659"/>
      <c r="BH5" s="659"/>
      <c r="BI5" s="659"/>
      <c r="BJ5" s="659"/>
      <c r="BK5" s="65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4" t="s">
        <v>264</v>
      </c>
      <c r="W23" s="64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6"/>
      <c r="W24" s="64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2" t="s">
        <v>2565</v>
      </c>
      <c r="H3" s="663"/>
      <c r="I3" s="346"/>
      <c r="J3" s="662" t="s">
        <v>2566</v>
      </c>
      <c r="K3" s="663"/>
      <c r="L3" s="273"/>
      <c r="M3" s="662">
        <v>43739</v>
      </c>
      <c r="N3" s="663"/>
      <c r="O3" s="662">
        <v>42401</v>
      </c>
      <c r="P3" s="66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7">
        <f>G40/F42+H40</f>
        <v>1932511.2781954887</v>
      </c>
      <c r="H43" s="66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6">
        <f>H40*F42+G40</f>
        <v>2570240</v>
      </c>
      <c r="H44" s="666"/>
      <c r="I44" s="2"/>
      <c r="J44" s="666">
        <f>K40*1.37+J40</f>
        <v>1877697.6600000001</v>
      </c>
      <c r="K44" s="666"/>
      <c r="L44" s="2"/>
      <c r="M44" s="666">
        <f>N40*1.37+M40</f>
        <v>1789659</v>
      </c>
      <c r="N44" s="666"/>
      <c r="O44" s="666">
        <f>P40*1.36+O40</f>
        <v>1320187.2</v>
      </c>
      <c r="P44" s="66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5" t="s">
        <v>1186</v>
      </c>
      <c r="C47" s="665"/>
      <c r="D47" s="665"/>
      <c r="E47" s="665"/>
      <c r="F47" s="665"/>
      <c r="G47" s="665"/>
      <c r="H47" s="665"/>
      <c r="I47" s="665"/>
      <c r="J47" s="665"/>
      <c r="K47" s="665"/>
      <c r="L47" s="665"/>
      <c r="M47" s="665"/>
      <c r="N47" s="665"/>
    </row>
    <row r="48" spans="2:16">
      <c r="B48" s="665" t="s">
        <v>2469</v>
      </c>
      <c r="C48" s="665"/>
      <c r="D48" s="665"/>
      <c r="E48" s="665"/>
      <c r="F48" s="665"/>
      <c r="G48" s="665"/>
      <c r="H48" s="665"/>
      <c r="I48" s="665"/>
      <c r="J48" s="665"/>
      <c r="K48" s="665"/>
      <c r="L48" s="665"/>
      <c r="M48" s="665"/>
      <c r="N48" s="665"/>
    </row>
    <row r="49" spans="2:14">
      <c r="B49" s="665" t="s">
        <v>2468</v>
      </c>
      <c r="C49" s="665"/>
      <c r="D49" s="665"/>
      <c r="E49" s="665"/>
      <c r="F49" s="665"/>
      <c r="G49" s="665"/>
      <c r="H49" s="665"/>
      <c r="I49" s="665"/>
      <c r="J49" s="665"/>
      <c r="K49" s="665"/>
      <c r="L49" s="665"/>
      <c r="M49" s="665"/>
      <c r="N49" s="665"/>
    </row>
    <row r="50" spans="2:14">
      <c r="B50" s="664" t="s">
        <v>2467</v>
      </c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</row>
    <row r="51" spans="2:14">
      <c r="B51" s="664"/>
      <c r="C51" s="664"/>
      <c r="D51" s="664"/>
      <c r="E51" s="664"/>
      <c r="F51" s="664"/>
      <c r="G51" s="664"/>
      <c r="H51" s="664"/>
      <c r="I51" s="664"/>
      <c r="J51" s="664"/>
      <c r="K51" s="664"/>
      <c r="L51" s="664"/>
      <c r="M51" s="664"/>
      <c r="N51" s="664"/>
    </row>
    <row r="52" spans="2:14">
      <c r="B52" s="664"/>
      <c r="C52" s="664"/>
      <c r="D52" s="664"/>
      <c r="E52" s="664"/>
      <c r="F52" s="664"/>
      <c r="G52" s="664"/>
      <c r="H52" s="664"/>
      <c r="I52" s="664"/>
      <c r="J52" s="664"/>
      <c r="K52" s="664"/>
      <c r="L52" s="664"/>
      <c r="M52" s="664"/>
      <c r="N52" s="66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4" t="s">
        <v>2554</v>
      </c>
      <c r="F38" s="67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3" t="s">
        <v>989</v>
      </c>
      <c r="C41" s="673"/>
      <c r="D41" s="673"/>
      <c r="E41" s="673"/>
      <c r="F41" s="673"/>
      <c r="G41" s="673"/>
      <c r="H41" s="67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2" t="s">
        <v>909</v>
      </c>
      <c r="C1" s="652"/>
      <c r="D1" s="651" t="s">
        <v>515</v>
      </c>
      <c r="E1" s="651"/>
      <c r="F1" s="652" t="s">
        <v>513</v>
      </c>
      <c r="G1" s="652"/>
      <c r="H1" s="679" t="s">
        <v>549</v>
      </c>
      <c r="I1" s="679"/>
      <c r="J1" s="651" t="s">
        <v>515</v>
      </c>
      <c r="K1" s="651"/>
      <c r="L1" s="652" t="s">
        <v>908</v>
      </c>
      <c r="M1" s="652"/>
      <c r="N1" s="679" t="s">
        <v>549</v>
      </c>
      <c r="O1" s="679"/>
      <c r="P1" s="651" t="s">
        <v>515</v>
      </c>
      <c r="Q1" s="651"/>
      <c r="R1" s="652" t="s">
        <v>552</v>
      </c>
      <c r="S1" s="652"/>
      <c r="T1" s="679" t="s">
        <v>549</v>
      </c>
      <c r="U1" s="679"/>
      <c r="V1" s="651" t="s">
        <v>515</v>
      </c>
      <c r="W1" s="651"/>
      <c r="X1" s="652" t="s">
        <v>907</v>
      </c>
      <c r="Y1" s="652"/>
      <c r="Z1" s="679" t="s">
        <v>549</v>
      </c>
      <c r="AA1" s="679"/>
      <c r="AB1" s="651" t="s">
        <v>515</v>
      </c>
      <c r="AC1" s="651"/>
      <c r="AD1" s="652" t="s">
        <v>591</v>
      </c>
      <c r="AE1" s="652"/>
      <c r="AF1" s="679" t="s">
        <v>549</v>
      </c>
      <c r="AG1" s="679"/>
      <c r="AH1" s="651" t="s">
        <v>515</v>
      </c>
      <c r="AI1" s="651"/>
      <c r="AJ1" s="652" t="s">
        <v>906</v>
      </c>
      <c r="AK1" s="652"/>
      <c r="AL1" s="679" t="s">
        <v>626</v>
      </c>
      <c r="AM1" s="679"/>
      <c r="AN1" s="651" t="s">
        <v>627</v>
      </c>
      <c r="AO1" s="651"/>
      <c r="AP1" s="652" t="s">
        <v>621</v>
      </c>
      <c r="AQ1" s="652"/>
      <c r="AR1" s="679" t="s">
        <v>549</v>
      </c>
      <c r="AS1" s="679"/>
      <c r="AT1" s="651" t="s">
        <v>515</v>
      </c>
      <c r="AU1" s="651"/>
      <c r="AV1" s="652" t="s">
        <v>905</v>
      </c>
      <c r="AW1" s="652"/>
      <c r="AX1" s="679" t="s">
        <v>549</v>
      </c>
      <c r="AY1" s="679"/>
      <c r="AZ1" s="651" t="s">
        <v>515</v>
      </c>
      <c r="BA1" s="651"/>
      <c r="BB1" s="652" t="s">
        <v>653</v>
      </c>
      <c r="BC1" s="652"/>
      <c r="BD1" s="679" t="s">
        <v>549</v>
      </c>
      <c r="BE1" s="679"/>
      <c r="BF1" s="651" t="s">
        <v>515</v>
      </c>
      <c r="BG1" s="651"/>
      <c r="BH1" s="652" t="s">
        <v>904</v>
      </c>
      <c r="BI1" s="652"/>
      <c r="BJ1" s="679" t="s">
        <v>549</v>
      </c>
      <c r="BK1" s="679"/>
      <c r="BL1" s="651" t="s">
        <v>515</v>
      </c>
      <c r="BM1" s="651"/>
      <c r="BN1" s="652" t="s">
        <v>921</v>
      </c>
      <c r="BO1" s="652"/>
      <c r="BP1" s="679" t="s">
        <v>549</v>
      </c>
      <c r="BQ1" s="679"/>
      <c r="BR1" s="651" t="s">
        <v>515</v>
      </c>
      <c r="BS1" s="651"/>
      <c r="BT1" s="652" t="s">
        <v>903</v>
      </c>
      <c r="BU1" s="652"/>
      <c r="BV1" s="679" t="s">
        <v>704</v>
      </c>
      <c r="BW1" s="679"/>
      <c r="BX1" s="651" t="s">
        <v>705</v>
      </c>
      <c r="BY1" s="651"/>
      <c r="BZ1" s="652" t="s">
        <v>703</v>
      </c>
      <c r="CA1" s="652"/>
      <c r="CB1" s="679" t="s">
        <v>730</v>
      </c>
      <c r="CC1" s="679"/>
      <c r="CD1" s="651" t="s">
        <v>731</v>
      </c>
      <c r="CE1" s="651"/>
      <c r="CF1" s="652" t="s">
        <v>902</v>
      </c>
      <c r="CG1" s="652"/>
      <c r="CH1" s="679" t="s">
        <v>730</v>
      </c>
      <c r="CI1" s="679"/>
      <c r="CJ1" s="651" t="s">
        <v>731</v>
      </c>
      <c r="CK1" s="651"/>
      <c r="CL1" s="652" t="s">
        <v>748</v>
      </c>
      <c r="CM1" s="652"/>
      <c r="CN1" s="679" t="s">
        <v>730</v>
      </c>
      <c r="CO1" s="679"/>
      <c r="CP1" s="651" t="s">
        <v>731</v>
      </c>
      <c r="CQ1" s="651"/>
      <c r="CR1" s="652" t="s">
        <v>901</v>
      </c>
      <c r="CS1" s="652"/>
      <c r="CT1" s="679" t="s">
        <v>730</v>
      </c>
      <c r="CU1" s="679"/>
      <c r="CV1" s="677" t="s">
        <v>731</v>
      </c>
      <c r="CW1" s="677"/>
      <c r="CX1" s="652" t="s">
        <v>769</v>
      </c>
      <c r="CY1" s="652"/>
      <c r="CZ1" s="679" t="s">
        <v>730</v>
      </c>
      <c r="DA1" s="679"/>
      <c r="DB1" s="677" t="s">
        <v>731</v>
      </c>
      <c r="DC1" s="677"/>
      <c r="DD1" s="652" t="s">
        <v>900</v>
      </c>
      <c r="DE1" s="652"/>
      <c r="DF1" s="679" t="s">
        <v>816</v>
      </c>
      <c r="DG1" s="679"/>
      <c r="DH1" s="677" t="s">
        <v>817</v>
      </c>
      <c r="DI1" s="677"/>
      <c r="DJ1" s="652" t="s">
        <v>809</v>
      </c>
      <c r="DK1" s="652"/>
      <c r="DL1" s="679" t="s">
        <v>816</v>
      </c>
      <c r="DM1" s="679"/>
      <c r="DN1" s="677" t="s">
        <v>731</v>
      </c>
      <c r="DO1" s="677"/>
      <c r="DP1" s="652" t="s">
        <v>899</v>
      </c>
      <c r="DQ1" s="652"/>
      <c r="DR1" s="679" t="s">
        <v>816</v>
      </c>
      <c r="DS1" s="679"/>
      <c r="DT1" s="677" t="s">
        <v>731</v>
      </c>
      <c r="DU1" s="677"/>
      <c r="DV1" s="652" t="s">
        <v>898</v>
      </c>
      <c r="DW1" s="652"/>
      <c r="DX1" s="679" t="s">
        <v>816</v>
      </c>
      <c r="DY1" s="679"/>
      <c r="DZ1" s="677" t="s">
        <v>731</v>
      </c>
      <c r="EA1" s="677"/>
      <c r="EB1" s="652" t="s">
        <v>897</v>
      </c>
      <c r="EC1" s="652"/>
      <c r="ED1" s="679" t="s">
        <v>816</v>
      </c>
      <c r="EE1" s="679"/>
      <c r="EF1" s="677" t="s">
        <v>731</v>
      </c>
      <c r="EG1" s="677"/>
      <c r="EH1" s="652" t="s">
        <v>883</v>
      </c>
      <c r="EI1" s="652"/>
      <c r="EJ1" s="679" t="s">
        <v>816</v>
      </c>
      <c r="EK1" s="679"/>
      <c r="EL1" s="677" t="s">
        <v>936</v>
      </c>
      <c r="EM1" s="677"/>
      <c r="EN1" s="652" t="s">
        <v>922</v>
      </c>
      <c r="EO1" s="652"/>
      <c r="EP1" s="679" t="s">
        <v>816</v>
      </c>
      <c r="EQ1" s="679"/>
      <c r="ER1" s="677" t="s">
        <v>950</v>
      </c>
      <c r="ES1" s="677"/>
      <c r="ET1" s="652" t="s">
        <v>937</v>
      </c>
      <c r="EU1" s="652"/>
      <c r="EV1" s="679" t="s">
        <v>816</v>
      </c>
      <c r="EW1" s="679"/>
      <c r="EX1" s="677" t="s">
        <v>530</v>
      </c>
      <c r="EY1" s="677"/>
      <c r="EZ1" s="652" t="s">
        <v>952</v>
      </c>
      <c r="FA1" s="65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8" t="s">
        <v>779</v>
      </c>
      <c r="CU7" s="65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8" t="s">
        <v>778</v>
      </c>
      <c r="DA8" s="65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8" t="s">
        <v>778</v>
      </c>
      <c r="DG8" s="65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8" t="s">
        <v>778</v>
      </c>
      <c r="DM8" s="65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8" t="s">
        <v>778</v>
      </c>
      <c r="DS8" s="652"/>
      <c r="DT8" s="142" t="s">
        <v>783</v>
      </c>
      <c r="DU8" s="142">
        <f>SUM(DU13:DU17)</f>
        <v>32</v>
      </c>
      <c r="DV8" s="63"/>
      <c r="DW8" s="63"/>
      <c r="DX8" s="678" t="s">
        <v>778</v>
      </c>
      <c r="DY8" s="6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8" t="s">
        <v>928</v>
      </c>
      <c r="EK8" s="6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8" t="s">
        <v>928</v>
      </c>
      <c r="EQ9" s="65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8" t="s">
        <v>928</v>
      </c>
      <c r="EW9" s="65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8" t="s">
        <v>928</v>
      </c>
      <c r="EE11" s="65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8" t="s">
        <v>778</v>
      </c>
      <c r="CU12" s="6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3" t="s">
        <v>782</v>
      </c>
      <c r="CU19" s="64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5" t="s">
        <v>858</v>
      </c>
      <c r="FA21" s="665"/>
      <c r="FC21" s="237">
        <f>FC20-FC22</f>
        <v>113457.16899999997</v>
      </c>
      <c r="FD21" s="229"/>
      <c r="FE21" s="676" t="s">
        <v>1546</v>
      </c>
      <c r="FF21" s="676"/>
      <c r="FG21" s="6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5" t="s">
        <v>871</v>
      </c>
      <c r="FA22" s="66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5" t="s">
        <v>1000</v>
      </c>
      <c r="FA23" s="66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5" t="s">
        <v>1076</v>
      </c>
      <c r="FA24" s="66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L8" sqref="LL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2" t="s">
        <v>1209</v>
      </c>
      <c r="B1" s="682"/>
      <c r="C1" s="660" t="s">
        <v>292</v>
      </c>
      <c r="D1" s="660"/>
      <c r="E1" s="658" t="s">
        <v>1010</v>
      </c>
      <c r="F1" s="658"/>
      <c r="G1" s="682" t="s">
        <v>1210</v>
      </c>
      <c r="H1" s="682"/>
      <c r="I1" s="660" t="s">
        <v>292</v>
      </c>
      <c r="J1" s="660"/>
      <c r="K1" s="658" t="s">
        <v>1011</v>
      </c>
      <c r="L1" s="658"/>
      <c r="M1" s="682" t="s">
        <v>1211</v>
      </c>
      <c r="N1" s="682"/>
      <c r="O1" s="660" t="s">
        <v>292</v>
      </c>
      <c r="P1" s="660"/>
      <c r="Q1" s="658" t="s">
        <v>1057</v>
      </c>
      <c r="R1" s="658"/>
      <c r="S1" s="682" t="s">
        <v>1212</v>
      </c>
      <c r="T1" s="682"/>
      <c r="U1" s="660" t="s">
        <v>292</v>
      </c>
      <c r="V1" s="660"/>
      <c r="W1" s="658" t="s">
        <v>627</v>
      </c>
      <c r="X1" s="658"/>
      <c r="Y1" s="682" t="s">
        <v>1213</v>
      </c>
      <c r="Z1" s="682"/>
      <c r="AA1" s="660" t="s">
        <v>292</v>
      </c>
      <c r="AB1" s="660"/>
      <c r="AC1" s="658" t="s">
        <v>1084</v>
      </c>
      <c r="AD1" s="658"/>
      <c r="AE1" s="682" t="s">
        <v>1214</v>
      </c>
      <c r="AF1" s="682"/>
      <c r="AG1" s="660" t="s">
        <v>292</v>
      </c>
      <c r="AH1" s="660"/>
      <c r="AI1" s="658" t="s">
        <v>1134</v>
      </c>
      <c r="AJ1" s="658"/>
      <c r="AK1" s="682" t="s">
        <v>1217</v>
      </c>
      <c r="AL1" s="682"/>
      <c r="AM1" s="660" t="s">
        <v>1132</v>
      </c>
      <c r="AN1" s="660"/>
      <c r="AO1" s="658" t="s">
        <v>1133</v>
      </c>
      <c r="AP1" s="658"/>
      <c r="AQ1" s="682" t="s">
        <v>1218</v>
      </c>
      <c r="AR1" s="682"/>
      <c r="AS1" s="660" t="s">
        <v>1132</v>
      </c>
      <c r="AT1" s="660"/>
      <c r="AU1" s="658" t="s">
        <v>1178</v>
      </c>
      <c r="AV1" s="658"/>
      <c r="AW1" s="682" t="s">
        <v>1215</v>
      </c>
      <c r="AX1" s="682"/>
      <c r="AY1" s="658" t="s">
        <v>1241</v>
      </c>
      <c r="AZ1" s="658"/>
      <c r="BA1" s="682" t="s">
        <v>1215</v>
      </c>
      <c r="BB1" s="682"/>
      <c r="BC1" s="660" t="s">
        <v>816</v>
      </c>
      <c r="BD1" s="660"/>
      <c r="BE1" s="658" t="s">
        <v>1208</v>
      </c>
      <c r="BF1" s="658"/>
      <c r="BG1" s="682" t="s">
        <v>1216</v>
      </c>
      <c r="BH1" s="682"/>
      <c r="BI1" s="660" t="s">
        <v>816</v>
      </c>
      <c r="BJ1" s="660"/>
      <c r="BK1" s="658" t="s">
        <v>1208</v>
      </c>
      <c r="BL1" s="658"/>
      <c r="BM1" s="682" t="s">
        <v>1226</v>
      </c>
      <c r="BN1" s="682"/>
      <c r="BO1" s="660" t="s">
        <v>816</v>
      </c>
      <c r="BP1" s="660"/>
      <c r="BQ1" s="658" t="s">
        <v>1244</v>
      </c>
      <c r="BR1" s="658"/>
      <c r="BS1" s="682" t="s">
        <v>1243</v>
      </c>
      <c r="BT1" s="682"/>
      <c r="BU1" s="660" t="s">
        <v>816</v>
      </c>
      <c r="BV1" s="660"/>
      <c r="BW1" s="658" t="s">
        <v>1248</v>
      </c>
      <c r="BX1" s="658"/>
      <c r="BY1" s="682" t="s">
        <v>1270</v>
      </c>
      <c r="BZ1" s="682"/>
      <c r="CA1" s="660" t="s">
        <v>816</v>
      </c>
      <c r="CB1" s="660"/>
      <c r="CC1" s="658" t="s">
        <v>1244</v>
      </c>
      <c r="CD1" s="658"/>
      <c r="CE1" s="682" t="s">
        <v>1291</v>
      </c>
      <c r="CF1" s="682"/>
      <c r="CG1" s="660" t="s">
        <v>816</v>
      </c>
      <c r="CH1" s="660"/>
      <c r="CI1" s="658" t="s">
        <v>1248</v>
      </c>
      <c r="CJ1" s="658"/>
      <c r="CK1" s="682" t="s">
        <v>1307</v>
      </c>
      <c r="CL1" s="682"/>
      <c r="CM1" s="660" t="s">
        <v>816</v>
      </c>
      <c r="CN1" s="660"/>
      <c r="CO1" s="658" t="s">
        <v>1244</v>
      </c>
      <c r="CP1" s="658"/>
      <c r="CQ1" s="682" t="s">
        <v>1335</v>
      </c>
      <c r="CR1" s="682"/>
      <c r="CS1" s="684" t="s">
        <v>816</v>
      </c>
      <c r="CT1" s="684"/>
      <c r="CU1" s="658" t="s">
        <v>1391</v>
      </c>
      <c r="CV1" s="658"/>
      <c r="CW1" s="682" t="s">
        <v>1374</v>
      </c>
      <c r="CX1" s="682"/>
      <c r="CY1" s="684" t="s">
        <v>816</v>
      </c>
      <c r="CZ1" s="684"/>
      <c r="DA1" s="658" t="s">
        <v>1597</v>
      </c>
      <c r="DB1" s="658"/>
      <c r="DC1" s="682" t="s">
        <v>1394</v>
      </c>
      <c r="DD1" s="682"/>
      <c r="DE1" s="684" t="s">
        <v>816</v>
      </c>
      <c r="DF1" s="684"/>
      <c r="DG1" s="658" t="s">
        <v>1491</v>
      </c>
      <c r="DH1" s="658"/>
      <c r="DI1" s="682" t="s">
        <v>1594</v>
      </c>
      <c r="DJ1" s="682"/>
      <c r="DK1" s="684" t="s">
        <v>816</v>
      </c>
      <c r="DL1" s="684"/>
      <c r="DM1" s="658" t="s">
        <v>1391</v>
      </c>
      <c r="DN1" s="658"/>
      <c r="DO1" s="682" t="s">
        <v>1595</v>
      </c>
      <c r="DP1" s="682"/>
      <c r="DQ1" s="684" t="s">
        <v>816</v>
      </c>
      <c r="DR1" s="684"/>
      <c r="DS1" s="658" t="s">
        <v>1590</v>
      </c>
      <c r="DT1" s="658"/>
      <c r="DU1" s="682" t="s">
        <v>1596</v>
      </c>
      <c r="DV1" s="682"/>
      <c r="DW1" s="684" t="s">
        <v>816</v>
      </c>
      <c r="DX1" s="684"/>
      <c r="DY1" s="658" t="s">
        <v>1616</v>
      </c>
      <c r="DZ1" s="658"/>
      <c r="EA1" s="683" t="s">
        <v>1611</v>
      </c>
      <c r="EB1" s="683"/>
      <c r="EC1" s="684" t="s">
        <v>816</v>
      </c>
      <c r="ED1" s="684"/>
      <c r="EE1" s="658" t="s">
        <v>1590</v>
      </c>
      <c r="EF1" s="658"/>
      <c r="EG1" s="463"/>
      <c r="EH1" s="683" t="s">
        <v>1641</v>
      </c>
      <c r="EI1" s="683"/>
      <c r="EJ1" s="684" t="s">
        <v>816</v>
      </c>
      <c r="EK1" s="684"/>
      <c r="EL1" s="658" t="s">
        <v>1674</v>
      </c>
      <c r="EM1" s="658"/>
      <c r="EN1" s="683" t="s">
        <v>1666</v>
      </c>
      <c r="EO1" s="683"/>
      <c r="EP1" s="684" t="s">
        <v>816</v>
      </c>
      <c r="EQ1" s="684"/>
      <c r="ER1" s="658" t="s">
        <v>1714</v>
      </c>
      <c r="ES1" s="658"/>
      <c r="ET1" s="683" t="s">
        <v>1707</v>
      </c>
      <c r="EU1" s="683"/>
      <c r="EV1" s="684" t="s">
        <v>816</v>
      </c>
      <c r="EW1" s="684"/>
      <c r="EX1" s="658" t="s">
        <v>1616</v>
      </c>
      <c r="EY1" s="658"/>
      <c r="EZ1" s="683" t="s">
        <v>1742</v>
      </c>
      <c r="FA1" s="683"/>
      <c r="FB1" s="684" t="s">
        <v>816</v>
      </c>
      <c r="FC1" s="684"/>
      <c r="FD1" s="658" t="s">
        <v>1597</v>
      </c>
      <c r="FE1" s="658"/>
      <c r="FF1" s="683" t="s">
        <v>1781</v>
      </c>
      <c r="FG1" s="683"/>
      <c r="FH1" s="684" t="s">
        <v>816</v>
      </c>
      <c r="FI1" s="684"/>
      <c r="FJ1" s="658" t="s">
        <v>1391</v>
      </c>
      <c r="FK1" s="658"/>
      <c r="FL1" s="683" t="s">
        <v>1816</v>
      </c>
      <c r="FM1" s="683"/>
      <c r="FN1" s="684" t="s">
        <v>816</v>
      </c>
      <c r="FO1" s="684"/>
      <c r="FP1" s="658" t="s">
        <v>1863</v>
      </c>
      <c r="FQ1" s="658"/>
      <c r="FR1" s="683" t="s">
        <v>1852</v>
      </c>
      <c r="FS1" s="683"/>
      <c r="FT1" s="684" t="s">
        <v>816</v>
      </c>
      <c r="FU1" s="684"/>
      <c r="FV1" s="658" t="s">
        <v>1863</v>
      </c>
      <c r="FW1" s="658"/>
      <c r="FX1" s="683" t="s">
        <v>1966</v>
      </c>
      <c r="FY1" s="683"/>
      <c r="FZ1" s="684" t="s">
        <v>816</v>
      </c>
      <c r="GA1" s="684"/>
      <c r="GB1" s="658" t="s">
        <v>1616</v>
      </c>
      <c r="GC1" s="658"/>
      <c r="GD1" s="683" t="s">
        <v>1967</v>
      </c>
      <c r="GE1" s="683"/>
      <c r="GF1" s="684" t="s">
        <v>816</v>
      </c>
      <c r="GG1" s="684"/>
      <c r="GH1" s="658" t="s">
        <v>1590</v>
      </c>
      <c r="GI1" s="658"/>
      <c r="GJ1" s="683" t="s">
        <v>1976</v>
      </c>
      <c r="GK1" s="683"/>
      <c r="GL1" s="684" t="s">
        <v>816</v>
      </c>
      <c r="GM1" s="684"/>
      <c r="GN1" s="658" t="s">
        <v>1590</v>
      </c>
      <c r="GO1" s="658"/>
      <c r="GP1" s="683" t="s">
        <v>2018</v>
      </c>
      <c r="GQ1" s="683"/>
      <c r="GR1" s="684" t="s">
        <v>816</v>
      </c>
      <c r="GS1" s="684"/>
      <c r="GT1" s="658" t="s">
        <v>1674</v>
      </c>
      <c r="GU1" s="658"/>
      <c r="GV1" s="683" t="s">
        <v>2047</v>
      </c>
      <c r="GW1" s="683"/>
      <c r="GX1" s="684" t="s">
        <v>816</v>
      </c>
      <c r="GY1" s="684"/>
      <c r="GZ1" s="658" t="s">
        <v>2086</v>
      </c>
      <c r="HA1" s="658"/>
      <c r="HB1" s="683" t="s">
        <v>2106</v>
      </c>
      <c r="HC1" s="683"/>
      <c r="HD1" s="684" t="s">
        <v>816</v>
      </c>
      <c r="HE1" s="684"/>
      <c r="HF1" s="658" t="s">
        <v>1714</v>
      </c>
      <c r="HG1" s="658"/>
      <c r="HH1" s="683" t="s">
        <v>2119</v>
      </c>
      <c r="HI1" s="683"/>
      <c r="HJ1" s="684" t="s">
        <v>816</v>
      </c>
      <c r="HK1" s="684"/>
      <c r="HL1" s="658" t="s">
        <v>1391</v>
      </c>
      <c r="HM1" s="658"/>
      <c r="HN1" s="683" t="s">
        <v>2165</v>
      </c>
      <c r="HO1" s="683"/>
      <c r="HP1" s="684" t="s">
        <v>816</v>
      </c>
      <c r="HQ1" s="684"/>
      <c r="HR1" s="658" t="s">
        <v>1391</v>
      </c>
      <c r="HS1" s="658"/>
      <c r="HT1" s="683" t="s">
        <v>2200</v>
      </c>
      <c r="HU1" s="683"/>
      <c r="HV1" s="684" t="s">
        <v>816</v>
      </c>
      <c r="HW1" s="684"/>
      <c r="HX1" s="658" t="s">
        <v>1616</v>
      </c>
      <c r="HY1" s="658"/>
      <c r="HZ1" s="683" t="s">
        <v>2245</v>
      </c>
      <c r="IA1" s="683"/>
      <c r="IB1" s="684" t="s">
        <v>816</v>
      </c>
      <c r="IC1" s="684"/>
      <c r="ID1" s="658" t="s">
        <v>1714</v>
      </c>
      <c r="IE1" s="658"/>
      <c r="IF1" s="683" t="s">
        <v>2310</v>
      </c>
      <c r="IG1" s="683"/>
      <c r="IH1" s="684" t="s">
        <v>816</v>
      </c>
      <c r="II1" s="684"/>
      <c r="IJ1" s="658" t="s">
        <v>1590</v>
      </c>
      <c r="IK1" s="658"/>
      <c r="IL1" s="683" t="s">
        <v>2379</v>
      </c>
      <c r="IM1" s="683"/>
      <c r="IN1" s="684" t="s">
        <v>816</v>
      </c>
      <c r="IO1" s="684"/>
      <c r="IP1" s="658" t="s">
        <v>1616</v>
      </c>
      <c r="IQ1" s="658"/>
      <c r="IR1" s="683" t="s">
        <v>2557</v>
      </c>
      <c r="IS1" s="683"/>
      <c r="IT1" s="684" t="s">
        <v>816</v>
      </c>
      <c r="IU1" s="684"/>
      <c r="IV1" s="658" t="s">
        <v>1747</v>
      </c>
      <c r="IW1" s="658"/>
      <c r="IX1" s="683" t="s">
        <v>2556</v>
      </c>
      <c r="IY1" s="683"/>
      <c r="IZ1" s="684" t="s">
        <v>816</v>
      </c>
      <c r="JA1" s="684"/>
      <c r="JB1" s="658" t="s">
        <v>1863</v>
      </c>
      <c r="JC1" s="658"/>
      <c r="JD1" s="683" t="s">
        <v>2597</v>
      </c>
      <c r="JE1" s="683"/>
      <c r="JF1" s="684" t="s">
        <v>816</v>
      </c>
      <c r="JG1" s="684"/>
      <c r="JH1" s="658" t="s">
        <v>1747</v>
      </c>
      <c r="JI1" s="658"/>
      <c r="JJ1" s="683" t="s">
        <v>2645</v>
      </c>
      <c r="JK1" s="683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3023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3091</v>
      </c>
      <c r="KU1" s="464"/>
      <c r="KV1" s="465" t="s">
        <v>816</v>
      </c>
      <c r="KW1" s="465"/>
      <c r="KX1" s="621" t="s">
        <v>1590</v>
      </c>
      <c r="KY1" s="463"/>
      <c r="KZ1" s="464" t="s">
        <v>3160</v>
      </c>
      <c r="LA1" s="464"/>
      <c r="LB1" s="623" t="s">
        <v>816</v>
      </c>
      <c r="LC1" s="623"/>
      <c r="LD1" s="621" t="s">
        <v>1747</v>
      </c>
      <c r="LE1" s="621"/>
      <c r="LF1" s="626" t="s">
        <v>3164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3027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3027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3015</v>
      </c>
      <c r="KU2" s="259">
        <v>-50000</v>
      </c>
      <c r="KV2" s="341" t="s">
        <v>3027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3015</v>
      </c>
      <c r="LA2" s="259">
        <v>-50000</v>
      </c>
      <c r="LB2" s="627" t="s">
        <v>3027</v>
      </c>
      <c r="LC2" s="321">
        <f>SUM(LC4:LC23)</f>
        <v>1115.1199999999999</v>
      </c>
      <c r="LD2" s="203" t="s">
        <v>296</v>
      </c>
      <c r="LE2" s="260">
        <f>LC2+LA3-LG3</f>
        <v>6519.4300000000512</v>
      </c>
      <c r="LF2" s="627" t="s">
        <v>3015</v>
      </c>
      <c r="LG2" s="259">
        <v>-50000</v>
      </c>
    </row>
    <row r="3" spans="1:320">
      <c r="A3" s="705" t="s">
        <v>991</v>
      </c>
      <c r="B3" s="705"/>
      <c r="E3" s="170" t="s">
        <v>233</v>
      </c>
      <c r="F3" s="174">
        <f>F2-F4</f>
        <v>17</v>
      </c>
      <c r="G3" s="705" t="s">
        <v>991</v>
      </c>
      <c r="H3" s="70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3015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3039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3039</v>
      </c>
      <c r="LA3" s="311">
        <f>SUM(LA8:LA34)</f>
        <v>325738.49000000005</v>
      </c>
      <c r="LC3" s="321"/>
      <c r="LD3" s="627" t="s">
        <v>2340</v>
      </c>
      <c r="LE3" s="260">
        <f>LE2-LC31-LC30</f>
        <v>3519.4300000000512</v>
      </c>
      <c r="LF3" s="627" t="s">
        <v>3039</v>
      </c>
      <c r="LG3" s="311">
        <f>SUM(LG8:LG35)</f>
        <v>320334.18</v>
      </c>
    </row>
    <row r="4" spans="1:320" ht="12.75" customHeight="1" thickBot="1">
      <c r="A4" s="705"/>
      <c r="B4" s="705"/>
      <c r="E4" s="170" t="s">
        <v>352</v>
      </c>
      <c r="F4" s="174">
        <f>SUM(F14:F57)</f>
        <v>12750</v>
      </c>
      <c r="G4" s="705"/>
      <c r="H4" s="70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3031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3031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3031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3032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3031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3022</v>
      </c>
      <c r="KI4" s="311">
        <f>SUM(KI5:KI36)</f>
        <v>337796.44</v>
      </c>
      <c r="KJ4" s="341" t="s">
        <v>3031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3024</v>
      </c>
      <c r="KO4" s="311">
        <f>SUM(KO9:KO38)</f>
        <v>291555.63999999996</v>
      </c>
      <c r="KP4" s="341" t="s">
        <v>3031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3031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3031</v>
      </c>
      <c r="LC4" s="473"/>
      <c r="LD4" s="627" t="s">
        <v>1203</v>
      </c>
      <c r="LE4" s="460">
        <f>LE2-LE5</f>
        <v>0.11000000005151378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3031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3031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3031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3031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3094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6519.32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3046</v>
      </c>
      <c r="KS6" s="449">
        <v>2000</v>
      </c>
      <c r="KT6" s="457">
        <v>20000</v>
      </c>
      <c r="KU6" s="458">
        <v>45370</v>
      </c>
      <c r="KV6" s="596" t="s">
        <v>3105</v>
      </c>
      <c r="KW6" s="202">
        <v>6.66</v>
      </c>
      <c r="KX6" s="450" t="s">
        <v>3123</v>
      </c>
      <c r="KY6" s="260">
        <v>50</v>
      </c>
      <c r="KZ6" s="605" t="s">
        <v>3127</v>
      </c>
      <c r="LA6" s="458" t="s">
        <v>3126</v>
      </c>
      <c r="LB6" s="632" t="s">
        <v>3183</v>
      </c>
      <c r="LC6" s="202">
        <v>200</v>
      </c>
      <c r="LD6" s="450" t="s">
        <v>3135</v>
      </c>
      <c r="LE6" s="260" t="s">
        <v>3134</v>
      </c>
      <c r="LF6" s="605" t="s">
        <v>3127</v>
      </c>
      <c r="LG6" s="458" t="s">
        <v>3126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3103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3123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3043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3103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3103</v>
      </c>
      <c r="LC8" s="321"/>
      <c r="LD8" s="450" t="s">
        <v>3172</v>
      </c>
      <c r="LE8" s="260">
        <f>1000+2000</f>
        <v>3000</v>
      </c>
      <c r="LF8" s="497" t="s">
        <v>3000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3025</v>
      </c>
      <c r="KS9" s="341">
        <v>487</v>
      </c>
      <c r="KT9" s="457">
        <v>20000</v>
      </c>
      <c r="KU9" s="458">
        <v>45412</v>
      </c>
      <c r="KV9" s="593" t="s">
        <v>3106</v>
      </c>
      <c r="KW9" s="332">
        <v>3129.11</v>
      </c>
      <c r="KX9" s="300" t="s">
        <v>3119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3013</v>
      </c>
      <c r="KM10" s="341">
        <f>82.58+102.97</f>
        <v>185.55</v>
      </c>
      <c r="KN10" s="341" t="s">
        <v>2905</v>
      </c>
      <c r="KO10" s="259">
        <v>-70600</v>
      </c>
      <c r="KP10" s="204" t="s">
        <v>3041</v>
      </c>
      <c r="KQ10" s="398">
        <v>35.14</v>
      </c>
      <c r="KR10" s="300" t="s">
        <v>3076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3120</v>
      </c>
      <c r="KY10" s="204">
        <v>20</v>
      </c>
      <c r="KZ10" s="341" t="s">
        <v>3012</v>
      </c>
      <c r="LA10" s="259">
        <v>-119500</v>
      </c>
      <c r="LB10" s="628" t="s">
        <v>3117</v>
      </c>
      <c r="LC10" s="398"/>
      <c r="LD10" s="451" t="s">
        <v>3187</v>
      </c>
      <c r="LE10" s="202">
        <v>3200</v>
      </c>
      <c r="LF10" s="627" t="s">
        <v>3012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3104</v>
      </c>
      <c r="KQ11" s="341">
        <v>200</v>
      </c>
      <c r="KR11" s="594" t="s">
        <v>3052</v>
      </c>
      <c r="KS11" s="449">
        <v>141.03</v>
      </c>
      <c r="KT11" s="341" t="s">
        <v>2905</v>
      </c>
      <c r="KU11" s="259">
        <v>-70600</v>
      </c>
      <c r="KV11" s="598" t="s">
        <v>3116</v>
      </c>
      <c r="KW11" s="398">
        <v>288</v>
      </c>
      <c r="KX11" s="300" t="s">
        <v>3152</v>
      </c>
      <c r="KY11" s="616">
        <v>39.9</v>
      </c>
      <c r="KZ11" s="285" t="s">
        <v>3001</v>
      </c>
      <c r="LA11" s="319">
        <v>-82000</v>
      </c>
      <c r="LB11" s="628" t="s">
        <v>3122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3089</v>
      </c>
      <c r="KS12" s="204">
        <v>15.2</v>
      </c>
      <c r="KT12" s="341" t="s">
        <v>3012</v>
      </c>
      <c r="KU12" s="259">
        <v>-123206</v>
      </c>
      <c r="KV12" s="204" t="s">
        <v>3117</v>
      </c>
      <c r="KW12" s="398">
        <f>32.02+3.51</f>
        <v>35.53</v>
      </c>
      <c r="KX12" s="300" t="s">
        <v>3146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3078</v>
      </c>
      <c r="KS13" s="341">
        <v>43.2</v>
      </c>
      <c r="KT13" s="285" t="s">
        <v>3001</v>
      </c>
      <c r="KU13" s="319">
        <v>-82000</v>
      </c>
      <c r="KV13" s="601" t="s">
        <v>3122</v>
      </c>
      <c r="KW13" s="398">
        <v>15</v>
      </c>
      <c r="KX13" s="300" t="s">
        <v>3153</v>
      </c>
      <c r="KY13" s="603">
        <v>91.22</v>
      </c>
      <c r="KZ13" s="320" t="s">
        <v>3014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3014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7" t="s">
        <v>1504</v>
      </c>
      <c r="DP14" s="68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3" t="s">
        <v>2150</v>
      </c>
      <c r="HK14" s="68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3095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3033</v>
      </c>
      <c r="KQ14" s="398">
        <f>205.48+73.97+65.75</f>
        <v>345.2</v>
      </c>
      <c r="KR14" s="254" t="s">
        <v>3051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3144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706" t="s">
        <v>2841</v>
      </c>
      <c r="KE15" s="70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3016</v>
      </c>
      <c r="KQ15" s="398">
        <f>1.52</f>
        <v>1.52</v>
      </c>
      <c r="KR15" s="254" t="s">
        <v>2417</v>
      </c>
      <c r="KS15" s="204">
        <v>194.04</v>
      </c>
      <c r="KT15" s="320" t="s">
        <v>3014</v>
      </c>
      <c r="KU15" s="259">
        <v>0</v>
      </c>
      <c r="KV15" s="217" t="s">
        <v>2794</v>
      </c>
      <c r="KW15" s="398"/>
      <c r="KX15" s="254" t="s">
        <v>3175</v>
      </c>
      <c r="KY15" s="616">
        <v>49.7</v>
      </c>
      <c r="KZ15" s="597" t="s">
        <v>3112</v>
      </c>
      <c r="LA15" s="259">
        <v>233004</v>
      </c>
      <c r="LB15" s="217"/>
      <c r="LC15" s="398"/>
      <c r="LD15" s="254" t="s">
        <v>1862</v>
      </c>
      <c r="LE15" s="628"/>
      <c r="LF15" s="629" t="s">
        <v>3112</v>
      </c>
      <c r="LG15" s="259">
        <v>217004</v>
      </c>
      <c r="LH15" s="470">
        <v>45264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3038</v>
      </c>
      <c r="KQ16" s="341">
        <f>30000*(1-0.9807)</f>
        <v>578.99999999999955</v>
      </c>
      <c r="KR16" s="254" t="s">
        <v>3075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3145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101465</v>
      </c>
      <c r="LH16" s="470">
        <v>45267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3054</v>
      </c>
      <c r="KQ17" s="341">
        <f>20000*(1-0.9803)</f>
        <v>394.00000000000102</v>
      </c>
      <c r="KR17" s="243" t="s">
        <v>3010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3161</v>
      </c>
      <c r="KY17" s="620">
        <v>52.42</v>
      </c>
      <c r="KZ17" s="326" t="s">
        <v>2883</v>
      </c>
      <c r="LA17" s="358"/>
      <c r="LB17" s="624" t="s">
        <v>3092</v>
      </c>
      <c r="LC17" s="398">
        <f>205.48+73.97+65.75+0.51</f>
        <v>345.71</v>
      </c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7" t="s">
        <v>1474</v>
      </c>
      <c r="DJ18" s="68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3035</v>
      </c>
      <c r="KQ18" s="328">
        <v>939.02</v>
      </c>
      <c r="KR18" s="143" t="s">
        <v>3011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3174</v>
      </c>
      <c r="KY18" s="616">
        <v>32</v>
      </c>
      <c r="KZ18" s="285" t="s">
        <v>3003</v>
      </c>
      <c r="LA18" s="319">
        <v>-143</v>
      </c>
      <c r="LB18" s="217" t="s">
        <v>3016</v>
      </c>
      <c r="LC18" s="398">
        <f>33.25+1.5</f>
        <v>34.75</v>
      </c>
      <c r="LD18" s="243" t="s">
        <v>3010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3017</v>
      </c>
      <c r="KQ19" s="328">
        <v>14.02</v>
      </c>
      <c r="KR19" s="143" t="s">
        <v>3049</v>
      </c>
      <c r="KS19" s="286">
        <v>170.22</v>
      </c>
      <c r="KT19" s="285" t="s">
        <v>3003</v>
      </c>
      <c r="KU19" s="319">
        <v>-479</v>
      </c>
      <c r="KV19" s="285" t="s">
        <v>3092</v>
      </c>
      <c r="KW19" s="398">
        <f>212.33+76.44+67.94</f>
        <v>356.71</v>
      </c>
      <c r="KX19" s="254" t="s">
        <v>3162</v>
      </c>
      <c r="KY19" s="620">
        <f>466.26+15.92</f>
        <v>482.18</v>
      </c>
      <c r="KZ19" s="559" t="s">
        <v>3100</v>
      </c>
      <c r="LA19" s="474">
        <v>-78.540000000000006</v>
      </c>
      <c r="LB19" s="628" t="s">
        <v>3178</v>
      </c>
      <c r="LD19" s="143" t="s">
        <v>3011</v>
      </c>
      <c r="LE19" s="327"/>
      <c r="LF19" s="631" t="s">
        <v>3100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3050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3070</v>
      </c>
      <c r="KU20" s="259">
        <f>KT21-0.99*195000</f>
        <v>-468</v>
      </c>
      <c r="KV20" s="217" t="s">
        <v>3016</v>
      </c>
      <c r="KW20" s="398">
        <f>34.33+1.58+0.5</f>
        <v>36.409999999999997</v>
      </c>
      <c r="KX20" s="254" t="s">
        <v>3159</v>
      </c>
      <c r="KY20" s="617">
        <v>20.05</v>
      </c>
      <c r="KZ20" s="204" t="s">
        <v>3070</v>
      </c>
      <c r="LA20" s="259">
        <f>KZ21-0.99*195000</f>
        <v>-1722</v>
      </c>
      <c r="LB20" s="628" t="s">
        <v>3177</v>
      </c>
      <c r="LC20" s="627">
        <v>21.18</v>
      </c>
      <c r="LD20" s="143" t="s">
        <v>3093</v>
      </c>
      <c r="LE20" s="286"/>
      <c r="LF20" s="628" t="s">
        <v>3070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3" t="s">
        <v>507</v>
      </c>
      <c r="N21" s="703"/>
      <c r="Q21" s="166" t="s">
        <v>365</v>
      </c>
      <c r="S21" s="703" t="s">
        <v>507</v>
      </c>
      <c r="T21" s="70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3071</v>
      </c>
      <c r="KQ21" s="341">
        <v>1895.66</v>
      </c>
      <c r="KR21" s="143" t="s">
        <v>3026</v>
      </c>
      <c r="KS21" s="202">
        <v>30</v>
      </c>
      <c r="KT21" s="448">
        <v>192582</v>
      </c>
      <c r="KU21" s="197"/>
      <c r="KV21" s="595" t="s">
        <v>3136</v>
      </c>
      <c r="KW21" s="341">
        <v>546.92999999999995</v>
      </c>
      <c r="KX21" s="254" t="s">
        <v>3163</v>
      </c>
      <c r="KY21" s="620">
        <v>399.3</v>
      </c>
      <c r="KZ21" s="448">
        <v>191328</v>
      </c>
      <c r="LA21" s="197"/>
      <c r="LB21" s="637" t="s">
        <v>3180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8" t="s">
        <v>990</v>
      </c>
      <c r="N22" s="698"/>
      <c r="Q22" s="166" t="s">
        <v>369</v>
      </c>
      <c r="S22" s="698" t="s">
        <v>990</v>
      </c>
      <c r="T22" s="698"/>
      <c r="W22" s="242" t="s">
        <v>1019</v>
      </c>
      <c r="X22" s="341">
        <v>0</v>
      </c>
      <c r="Y22" s="703" t="s">
        <v>507</v>
      </c>
      <c r="Z22" s="70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2" t="s">
        <v>2135</v>
      </c>
      <c r="IU22" s="68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3072</v>
      </c>
      <c r="KQ22" s="449">
        <v>2121.2199999999998</v>
      </c>
      <c r="KR22" s="143" t="s">
        <v>3019</v>
      </c>
      <c r="KS22" s="202">
        <v>100</v>
      </c>
      <c r="KT22" s="204" t="s">
        <v>2670</v>
      </c>
      <c r="KU22" s="259">
        <v>2600</v>
      </c>
      <c r="KV22" s="595" t="s">
        <v>3137</v>
      </c>
      <c r="KW22" s="341">
        <v>297.89999999999998</v>
      </c>
      <c r="KX22" s="254" t="s">
        <v>3165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3181</v>
      </c>
      <c r="LE22" s="202">
        <v>30</v>
      </c>
      <c r="LF22" s="628" t="s">
        <v>2670</v>
      </c>
      <c r="LG22" s="259">
        <v>2600</v>
      </c>
    </row>
    <row r="23" spans="1:321">
      <c r="A23" s="703" t="s">
        <v>507</v>
      </c>
      <c r="B23" s="703"/>
      <c r="E23" s="164" t="s">
        <v>237</v>
      </c>
      <c r="F23" s="166"/>
      <c r="G23" s="703" t="s">
        <v>507</v>
      </c>
      <c r="H23" s="703"/>
      <c r="K23" s="242" t="s">
        <v>1019</v>
      </c>
      <c r="L23" s="341">
        <v>0</v>
      </c>
      <c r="M23" s="695"/>
      <c r="N23" s="695"/>
      <c r="Q23" s="166" t="s">
        <v>1056</v>
      </c>
      <c r="S23" s="695"/>
      <c r="T23" s="695"/>
      <c r="W23" s="242" t="s">
        <v>1027</v>
      </c>
      <c r="X23" s="204">
        <v>0</v>
      </c>
      <c r="Y23" s="698" t="s">
        <v>990</v>
      </c>
      <c r="Z23" s="698"/>
      <c r="AE23" s="703" t="s">
        <v>507</v>
      </c>
      <c r="AF23" s="703"/>
      <c r="AK23" s="703" t="s">
        <v>507</v>
      </c>
      <c r="AL23" s="70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9" t="s">
        <v>1536</v>
      </c>
      <c r="EF23" s="68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2" t="s">
        <v>2135</v>
      </c>
      <c r="HK23" s="68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2" t="s">
        <v>2135</v>
      </c>
      <c r="HW23" s="68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3073</v>
      </c>
      <c r="KQ23" s="449">
        <v>2597.87</v>
      </c>
      <c r="KR23" s="143" t="s">
        <v>3090</v>
      </c>
      <c r="KS23" s="274">
        <v>109.75</v>
      </c>
      <c r="KT23" s="320" t="s">
        <v>2671</v>
      </c>
      <c r="KU23" s="259">
        <v>1238</v>
      </c>
      <c r="KV23" s="600" t="s">
        <v>3118</v>
      </c>
      <c r="KW23" s="599">
        <f>5000*(1-0.9813)</f>
        <v>93.500000000000256</v>
      </c>
      <c r="KX23" s="243" t="s">
        <v>3010</v>
      </c>
      <c r="KY23" s="321">
        <f>1338.94-KY24</f>
        <v>1196.72</v>
      </c>
      <c r="KZ23" s="320" t="s">
        <v>2671</v>
      </c>
      <c r="LA23" s="259">
        <v>656</v>
      </c>
      <c r="LB23" s="628" t="s">
        <v>3118</v>
      </c>
      <c r="LC23" s="627">
        <v>93.25</v>
      </c>
      <c r="LD23" s="143" t="s">
        <v>3182</v>
      </c>
      <c r="LE23" s="202">
        <v>250</v>
      </c>
      <c r="LF23" s="629" t="s">
        <v>2671</v>
      </c>
      <c r="LG23" s="259">
        <v>629</v>
      </c>
      <c r="LH23" s="470">
        <v>45266</v>
      </c>
      <c r="LI23" s="259"/>
    </row>
    <row r="24" spans="1:321">
      <c r="A24" s="698" t="s">
        <v>990</v>
      </c>
      <c r="B24" s="698"/>
      <c r="E24" s="164" t="s">
        <v>139</v>
      </c>
      <c r="F24" s="166"/>
      <c r="G24" s="698" t="s">
        <v>990</v>
      </c>
      <c r="H24" s="698"/>
      <c r="K24" s="242" t="s">
        <v>1027</v>
      </c>
      <c r="L24" s="204">
        <v>0</v>
      </c>
      <c r="M24" s="695"/>
      <c r="N24" s="695"/>
      <c r="Q24" s="242" t="s">
        <v>1029</v>
      </c>
      <c r="R24" s="341">
        <v>0</v>
      </c>
      <c r="S24" s="695"/>
      <c r="T24" s="695"/>
      <c r="W24" s="242" t="s">
        <v>1050</v>
      </c>
      <c r="X24" s="341">
        <v>910.17</v>
      </c>
      <c r="Y24" s="695"/>
      <c r="Z24" s="695"/>
      <c r="AC24" s="245" t="s">
        <v>1083</v>
      </c>
      <c r="AD24" s="341">
        <v>90</v>
      </c>
      <c r="AE24" s="698" t="s">
        <v>990</v>
      </c>
      <c r="AF24" s="698"/>
      <c r="AI24" s="243" t="s">
        <v>1101</v>
      </c>
      <c r="AJ24" s="341">
        <v>30</v>
      </c>
      <c r="AK24" s="698" t="s">
        <v>990</v>
      </c>
      <c r="AL24" s="69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8"/>
      <c r="BH24" s="698"/>
      <c r="BK24" s="257" t="s">
        <v>1222</v>
      </c>
      <c r="BL24" s="204">
        <v>48.54</v>
      </c>
      <c r="BM24" s="698"/>
      <c r="BN24" s="698"/>
      <c r="BQ24" s="257" t="s">
        <v>1051</v>
      </c>
      <c r="BR24" s="204">
        <v>50.15</v>
      </c>
      <c r="BS24" s="698" t="s">
        <v>1245</v>
      </c>
      <c r="BT24" s="698"/>
      <c r="BW24" s="257" t="s">
        <v>1051</v>
      </c>
      <c r="BX24" s="204">
        <v>48.54</v>
      </c>
      <c r="BY24" s="698"/>
      <c r="BZ24" s="698"/>
      <c r="CC24" s="257" t="s">
        <v>1051</v>
      </c>
      <c r="CD24" s="204">
        <v>142.91</v>
      </c>
      <c r="CE24" s="698"/>
      <c r="CF24" s="698"/>
      <c r="CI24" s="257" t="s">
        <v>1312</v>
      </c>
      <c r="CJ24" s="204">
        <v>35.049999999999997</v>
      </c>
      <c r="CK24" s="695"/>
      <c r="CL24" s="695"/>
      <c r="CO24" s="257" t="s">
        <v>1286</v>
      </c>
      <c r="CP24" s="204">
        <v>153.41</v>
      </c>
      <c r="CQ24" s="695" t="s">
        <v>1327</v>
      </c>
      <c r="CR24" s="695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3074</v>
      </c>
      <c r="KQ24" s="449">
        <v>2650.71</v>
      </c>
      <c r="KR24" s="143" t="s">
        <v>3018</v>
      </c>
      <c r="KS24" s="274">
        <v>131.87</v>
      </c>
      <c r="KT24" s="320" t="s">
        <v>2672</v>
      </c>
      <c r="KU24" s="335">
        <v>41061</v>
      </c>
      <c r="KV24" s="613" t="s">
        <v>3143</v>
      </c>
      <c r="KW24" s="328">
        <f>5000*2*(1-0.98105)</f>
        <v>189.50000000000023</v>
      </c>
      <c r="KX24" s="143" t="s">
        <v>3011</v>
      </c>
      <c r="KY24" s="327">
        <v>142.22</v>
      </c>
      <c r="KZ24" s="320" t="s">
        <v>2672</v>
      </c>
      <c r="LA24" s="335">
        <v>1072</v>
      </c>
      <c r="LD24" s="143" t="s">
        <v>3169</v>
      </c>
      <c r="LE24" s="274" t="s">
        <v>3171</v>
      </c>
      <c r="LF24" s="629" t="s">
        <v>2672</v>
      </c>
      <c r="LG24" s="335">
        <v>1346</v>
      </c>
      <c r="LH24" s="470" t="s">
        <v>3190</v>
      </c>
      <c r="LI24" s="335"/>
    </row>
    <row r="25" spans="1:321">
      <c r="A25" s="695"/>
      <c r="B25" s="695"/>
      <c r="E25" s="197" t="s">
        <v>362</v>
      </c>
      <c r="F25" s="170"/>
      <c r="G25" s="695"/>
      <c r="H25" s="695"/>
      <c r="K25" s="242" t="s">
        <v>1018</v>
      </c>
      <c r="L25" s="341">
        <f>910+40</f>
        <v>950</v>
      </c>
      <c r="M25" s="695"/>
      <c r="N25" s="695"/>
      <c r="Q25" s="242" t="s">
        <v>1026</v>
      </c>
      <c r="R25" s="341">
        <v>0</v>
      </c>
      <c r="S25" s="695"/>
      <c r="T25" s="695"/>
      <c r="W25" s="143" t="s">
        <v>1085</v>
      </c>
      <c r="X25" s="341">
        <v>110.58</v>
      </c>
      <c r="Y25" s="695"/>
      <c r="Z25" s="695"/>
      <c r="AE25" s="695"/>
      <c r="AF25" s="695"/>
      <c r="AK25" s="695"/>
      <c r="AL25" s="69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5"/>
      <c r="AX25" s="695"/>
      <c r="AY25" s="143"/>
      <c r="AZ25" s="204"/>
      <c r="BA25" s="695"/>
      <c r="BB25" s="695"/>
      <c r="BE25" s="143" t="s">
        <v>1195</v>
      </c>
      <c r="BF25" s="204">
        <f>6.5*2</f>
        <v>13</v>
      </c>
      <c r="BG25" s="695"/>
      <c r="BH25" s="695"/>
      <c r="BK25" s="257" t="s">
        <v>1195</v>
      </c>
      <c r="BL25" s="204">
        <f>6.5*2</f>
        <v>13</v>
      </c>
      <c r="BM25" s="695"/>
      <c r="BN25" s="695"/>
      <c r="BQ25" s="257" t="s">
        <v>1195</v>
      </c>
      <c r="BR25" s="204">
        <v>13</v>
      </c>
      <c r="BS25" s="695"/>
      <c r="BT25" s="695"/>
      <c r="BW25" s="257" t="s">
        <v>1195</v>
      </c>
      <c r="BX25" s="204">
        <v>13</v>
      </c>
      <c r="BY25" s="695"/>
      <c r="BZ25" s="695"/>
      <c r="CC25" s="257" t="s">
        <v>1195</v>
      </c>
      <c r="CD25" s="204">
        <v>13</v>
      </c>
      <c r="CE25" s="695"/>
      <c r="CF25" s="695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3" t="s">
        <v>1536</v>
      </c>
      <c r="DZ25" s="69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9" t="s">
        <v>1536</v>
      </c>
      <c r="ES25" s="689"/>
      <c r="ET25" s="285" t="s">
        <v>1702</v>
      </c>
      <c r="EU25" s="319">
        <v>20000</v>
      </c>
      <c r="EW25" s="69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2" t="s">
        <v>2135</v>
      </c>
      <c r="IC25" s="68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3142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3093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95"/>
      <c r="B26" s="695"/>
      <c r="F26" s="194"/>
      <c r="G26" s="695"/>
      <c r="H26" s="695"/>
      <c r="M26" s="699" t="s">
        <v>506</v>
      </c>
      <c r="N26" s="699"/>
      <c r="Q26" s="242" t="s">
        <v>1019</v>
      </c>
      <c r="R26" s="341">
        <v>0</v>
      </c>
      <c r="S26" s="699" t="s">
        <v>506</v>
      </c>
      <c r="T26" s="699"/>
      <c r="W26" s="143" t="s">
        <v>1051</v>
      </c>
      <c r="X26" s="341">
        <v>60.75</v>
      </c>
      <c r="Y26" s="695"/>
      <c r="Z26" s="695"/>
      <c r="AC26" s="218" t="s">
        <v>1092</v>
      </c>
      <c r="AD26" s="218"/>
      <c r="AE26" s="699" t="s">
        <v>506</v>
      </c>
      <c r="AF26" s="69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9" t="s">
        <v>1536</v>
      </c>
      <c r="EY26" s="68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2" t="s">
        <v>2135</v>
      </c>
      <c r="HQ26" s="68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3057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3057</v>
      </c>
      <c r="LA26" s="259">
        <v>90</v>
      </c>
      <c r="LD26" s="143" t="s">
        <v>3138</v>
      </c>
      <c r="LE26" s="202"/>
      <c r="LF26" s="624" t="s">
        <v>3057</v>
      </c>
      <c r="LG26" s="259">
        <v>90</v>
      </c>
    </row>
    <row r="27" spans="1:321" ht="12.75" customHeight="1">
      <c r="A27" s="695"/>
      <c r="B27" s="695"/>
      <c r="E27" s="193" t="s">
        <v>360</v>
      </c>
      <c r="F27" s="194"/>
      <c r="G27" s="695"/>
      <c r="H27" s="695"/>
      <c r="K27" s="143" t="s">
        <v>1017</v>
      </c>
      <c r="L27" s="341">
        <f>60</f>
        <v>60</v>
      </c>
      <c r="M27" s="699" t="s">
        <v>992</v>
      </c>
      <c r="N27" s="699"/>
      <c r="Q27" s="242" t="s">
        <v>1073</v>
      </c>
      <c r="R27" s="204">
        <v>200</v>
      </c>
      <c r="S27" s="699" t="s">
        <v>992</v>
      </c>
      <c r="T27" s="699"/>
      <c r="W27" s="143" t="s">
        <v>1016</v>
      </c>
      <c r="X27" s="341">
        <v>61.35</v>
      </c>
      <c r="Y27" s="699" t="s">
        <v>506</v>
      </c>
      <c r="Z27" s="699"/>
      <c r="AC27" s="218" t="s">
        <v>1088</v>
      </c>
      <c r="AD27" s="218">
        <f>53+207+63</f>
        <v>323</v>
      </c>
      <c r="AE27" s="699" t="s">
        <v>992</v>
      </c>
      <c r="AF27" s="69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9" t="s">
        <v>1746</v>
      </c>
      <c r="FE27" s="68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3026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9" t="s">
        <v>506</v>
      </c>
      <c r="B28" s="699"/>
      <c r="E28" s="193" t="s">
        <v>282</v>
      </c>
      <c r="F28" s="194"/>
      <c r="G28" s="699" t="s">
        <v>506</v>
      </c>
      <c r="H28" s="699"/>
      <c r="K28" s="143" t="s">
        <v>1016</v>
      </c>
      <c r="L28" s="341">
        <v>0</v>
      </c>
      <c r="M28" s="701" t="s">
        <v>93</v>
      </c>
      <c r="N28" s="701"/>
      <c r="Q28" s="242" t="s">
        <v>1050</v>
      </c>
      <c r="R28" s="341">
        <v>0</v>
      </c>
      <c r="S28" s="701" t="s">
        <v>93</v>
      </c>
      <c r="T28" s="701"/>
      <c r="W28" s="143" t="s">
        <v>1015</v>
      </c>
      <c r="X28" s="341">
        <v>64</v>
      </c>
      <c r="Y28" s="699" t="s">
        <v>992</v>
      </c>
      <c r="Z28" s="699"/>
      <c r="AC28" s="218" t="s">
        <v>1089</v>
      </c>
      <c r="AD28" s="218">
        <f>63+46</f>
        <v>109</v>
      </c>
      <c r="AE28" s="701" t="s">
        <v>93</v>
      </c>
      <c r="AF28" s="70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9" t="s">
        <v>1536</v>
      </c>
      <c r="EM28" s="68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2" t="s">
        <v>2135</v>
      </c>
      <c r="JA28" s="682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3097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3158</v>
      </c>
      <c r="LA28" s="341">
        <f>240-15.97</f>
        <v>224.03</v>
      </c>
      <c r="LD28" s="143" t="s">
        <v>2309</v>
      </c>
      <c r="LE28" s="202">
        <f>15</f>
        <v>15</v>
      </c>
      <c r="LF28" s="639" t="s">
        <v>2949</v>
      </c>
      <c r="LG28" s="259"/>
    </row>
    <row r="29" spans="1:321">
      <c r="A29" s="699" t="s">
        <v>992</v>
      </c>
      <c r="B29" s="699"/>
      <c r="E29" s="193" t="s">
        <v>372</v>
      </c>
      <c r="F29" s="194"/>
      <c r="G29" s="699" t="s">
        <v>992</v>
      </c>
      <c r="H29" s="699"/>
      <c r="K29" s="143" t="s">
        <v>1015</v>
      </c>
      <c r="L29" s="341">
        <v>64</v>
      </c>
      <c r="M29" s="695" t="s">
        <v>385</v>
      </c>
      <c r="N29" s="695"/>
      <c r="S29" s="695" t="s">
        <v>385</v>
      </c>
      <c r="T29" s="695"/>
      <c r="W29" s="143" t="s">
        <v>1014</v>
      </c>
      <c r="X29" s="341">
        <v>100.01</v>
      </c>
      <c r="Y29" s="701" t="s">
        <v>93</v>
      </c>
      <c r="Z29" s="701"/>
      <c r="AC29" s="341" t="s">
        <v>1087</v>
      </c>
      <c r="AD29" s="341">
        <v>65</v>
      </c>
      <c r="AE29" s="695" t="s">
        <v>385</v>
      </c>
      <c r="AF29" s="69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9" t="s">
        <v>1746</v>
      </c>
      <c r="FK29" s="68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3086</v>
      </c>
      <c r="KS29" s="202">
        <v>400.92</v>
      </c>
      <c r="KT29" s="484" t="s">
        <v>3048</v>
      </c>
      <c r="KU29" s="202">
        <v>1202.04</v>
      </c>
      <c r="KV29" s="611"/>
      <c r="KW29" s="610"/>
      <c r="KX29" s="143" t="s">
        <v>3138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3188</v>
      </c>
      <c r="LE29" s="202">
        <v>10</v>
      </c>
      <c r="LF29" s="631" t="s">
        <v>2408</v>
      </c>
      <c r="LG29" s="202"/>
    </row>
    <row r="30" spans="1:321">
      <c r="A30" s="701" t="s">
        <v>93</v>
      </c>
      <c r="B30" s="701"/>
      <c r="E30" s="193" t="s">
        <v>1007</v>
      </c>
      <c r="F30" s="170"/>
      <c r="G30" s="701" t="s">
        <v>93</v>
      </c>
      <c r="H30" s="701"/>
      <c r="K30" s="143" t="s">
        <v>1014</v>
      </c>
      <c r="L30" s="341">
        <v>50.01</v>
      </c>
      <c r="M30" s="702" t="s">
        <v>1001</v>
      </c>
      <c r="N30" s="702"/>
      <c r="Q30" s="143" t="s">
        <v>1052</v>
      </c>
      <c r="R30" s="341">
        <v>26</v>
      </c>
      <c r="S30" s="702" t="s">
        <v>1001</v>
      </c>
      <c r="T30" s="702"/>
      <c r="Y30" s="695" t="s">
        <v>385</v>
      </c>
      <c r="Z30" s="695"/>
      <c r="AC30" s="341" t="s">
        <v>1090</v>
      </c>
      <c r="AD30" s="341">
        <v>10</v>
      </c>
      <c r="AE30" s="702" t="s">
        <v>1001</v>
      </c>
      <c r="AF30" s="702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3045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3034</v>
      </c>
      <c r="KS30" s="202">
        <f>5+0.99</f>
        <v>5.99</v>
      </c>
      <c r="KT30" s="484" t="s">
        <v>3056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9" t="s">
        <v>3189</v>
      </c>
      <c r="LG30" s="259">
        <v>104</v>
      </c>
    </row>
    <row r="31" spans="1:321" ht="12.75" customHeight="1">
      <c r="A31" s="695" t="s">
        <v>385</v>
      </c>
      <c r="B31" s="695"/>
      <c r="E31" s="170"/>
      <c r="F31" s="170"/>
      <c r="G31" s="695" t="s">
        <v>385</v>
      </c>
      <c r="H31" s="695"/>
      <c r="M31" s="698" t="s">
        <v>243</v>
      </c>
      <c r="N31" s="698"/>
      <c r="Q31" s="143" t="s">
        <v>1051</v>
      </c>
      <c r="R31" s="341">
        <v>55</v>
      </c>
      <c r="S31" s="698" t="s">
        <v>243</v>
      </c>
      <c r="T31" s="698"/>
      <c r="W31" s="241" t="s">
        <v>1072</v>
      </c>
      <c r="X31" s="241">
        <v>0</v>
      </c>
      <c r="Y31" s="702" t="s">
        <v>1001</v>
      </c>
      <c r="Z31" s="702"/>
      <c r="AE31" s="698" t="s">
        <v>243</v>
      </c>
      <c r="AF31" s="69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6" t="s">
        <v>1438</v>
      </c>
      <c r="DP31" s="68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3079</v>
      </c>
      <c r="KS31" s="202">
        <v>43.9</v>
      </c>
      <c r="KT31" s="326" t="s">
        <v>3077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702" t="s">
        <v>1001</v>
      </c>
      <c r="B32" s="702"/>
      <c r="C32" s="244"/>
      <c r="D32" s="244"/>
      <c r="E32" s="244"/>
      <c r="F32" s="244"/>
      <c r="G32" s="702" t="s">
        <v>1001</v>
      </c>
      <c r="H32" s="702"/>
      <c r="K32" s="241" t="s">
        <v>1021</v>
      </c>
      <c r="L32" s="241"/>
      <c r="M32" s="700" t="s">
        <v>1034</v>
      </c>
      <c r="N32" s="700"/>
      <c r="Q32" s="143" t="s">
        <v>1016</v>
      </c>
      <c r="R32" s="341">
        <v>77.239999999999995</v>
      </c>
      <c r="S32" s="700" t="s">
        <v>1034</v>
      </c>
      <c r="T32" s="700"/>
      <c r="Y32" s="698" t="s">
        <v>243</v>
      </c>
      <c r="Z32" s="698"/>
      <c r="AC32" s="196" t="s">
        <v>1012</v>
      </c>
      <c r="AD32" s="341">
        <v>350</v>
      </c>
      <c r="AE32" s="700" t="s">
        <v>1034</v>
      </c>
      <c r="AF32" s="70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6" t="s">
        <v>1411</v>
      </c>
      <c r="DB32" s="69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2" t="s">
        <v>2135</v>
      </c>
      <c r="IO32" s="68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3101</v>
      </c>
      <c r="KS32" s="202">
        <v>24.5</v>
      </c>
      <c r="KT32" s="326"/>
      <c r="KU32" s="202"/>
      <c r="KV32" s="628"/>
      <c r="KW32" s="627"/>
      <c r="KX32" s="297" t="s">
        <v>3140</v>
      </c>
      <c r="KY32" s="202">
        <v>40</v>
      </c>
      <c r="KZ32" s="618"/>
      <c r="LA32" s="202"/>
      <c r="LB32" s="451" t="s">
        <v>2983</v>
      </c>
      <c r="LC32" s="259">
        <f>LE10</f>
        <v>3200</v>
      </c>
      <c r="LD32" s="297" t="s">
        <v>1862</v>
      </c>
      <c r="LE32" s="202"/>
      <c r="LF32" s="633" t="s">
        <v>3176</v>
      </c>
      <c r="LG32" s="202">
        <v>30</v>
      </c>
    </row>
    <row r="33" spans="1:319">
      <c r="A33" s="698" t="s">
        <v>243</v>
      </c>
      <c r="B33" s="698"/>
      <c r="E33" s="187" t="s">
        <v>368</v>
      </c>
      <c r="F33" s="170"/>
      <c r="G33" s="698" t="s">
        <v>243</v>
      </c>
      <c r="H33" s="69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0" t="s">
        <v>1034</v>
      </c>
      <c r="Z33" s="70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3044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3080</v>
      </c>
      <c r="KS33" s="336">
        <v>48.11</v>
      </c>
      <c r="KT33" s="326"/>
      <c r="KU33" s="202"/>
      <c r="KV33" s="628"/>
      <c r="KW33" s="627"/>
      <c r="KX33" s="297" t="s">
        <v>3125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  <c r="LF33" s="640" t="s">
        <v>3191</v>
      </c>
      <c r="LG33" s="627">
        <v>7000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3081</v>
      </c>
      <c r="KS34" s="336">
        <v>60.23</v>
      </c>
      <c r="KT34" s="326"/>
      <c r="KU34" s="202"/>
      <c r="KV34" s="616"/>
      <c r="KW34" s="615"/>
      <c r="KX34" s="297" t="s">
        <v>3124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704"/>
      <c r="B35" s="704"/>
      <c r="E35" s="172" t="s">
        <v>403</v>
      </c>
      <c r="F35" s="170">
        <v>250</v>
      </c>
      <c r="G35" s="704"/>
      <c r="H35" s="70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3088</v>
      </c>
      <c r="KS35" s="336">
        <v>40.4</v>
      </c>
      <c r="KT35" s="326" t="s">
        <v>3021</v>
      </c>
      <c r="KV35" s="615"/>
      <c r="KW35" s="615"/>
      <c r="KX35" s="297" t="s">
        <v>3141</v>
      </c>
      <c r="KY35" s="202">
        <f>12.5+36</f>
        <v>48.5</v>
      </c>
      <c r="KZ35" s="326" t="s">
        <v>3021</v>
      </c>
      <c r="LB35" s="453" t="s">
        <v>2842</v>
      </c>
      <c r="LC35" s="259">
        <f>SUM(LE19:LE28)</f>
        <v>309.32</v>
      </c>
      <c r="LD35" s="627" t="s">
        <v>2948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1" t="s">
        <v>1536</v>
      </c>
      <c r="DT36" s="69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3096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3084</v>
      </c>
      <c r="KS36" s="336">
        <f>30.8+1.8+1</f>
        <v>33.6</v>
      </c>
      <c r="KT36" s="326" t="s">
        <v>3020</v>
      </c>
      <c r="KU36" s="285"/>
      <c r="KV36" s="616"/>
      <c r="KW36" s="615"/>
      <c r="KX36" s="297" t="s">
        <v>3130</v>
      </c>
      <c r="KY36" s="202">
        <f>20+22+11+15+9+9</f>
        <v>86</v>
      </c>
      <c r="KZ36" s="326" t="s">
        <v>3114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3021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3102</v>
      </c>
      <c r="KS37" s="336">
        <f>7.5+7.5</f>
        <v>15</v>
      </c>
      <c r="KT37" s="326" t="s">
        <v>3100</v>
      </c>
      <c r="KX37" s="297" t="s">
        <v>3149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3114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3129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31" t="s">
        <v>2675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6" t="s">
        <v>1438</v>
      </c>
      <c r="DJ39" s="68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3184</v>
      </c>
      <c r="KY39" s="336">
        <v>31.96</v>
      </c>
      <c r="KZ39" s="341" t="s">
        <v>3030</v>
      </c>
      <c r="LB39" s="309" t="s">
        <v>3170</v>
      </c>
      <c r="LC39" s="568"/>
      <c r="LD39" s="550"/>
      <c r="LE39" s="563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2" t="s">
        <v>2135</v>
      </c>
      <c r="II40" s="68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3030</v>
      </c>
      <c r="KX40" s="297" t="s">
        <v>3156</v>
      </c>
      <c r="KY40" s="202">
        <f>21.3+22.3</f>
        <v>43.6</v>
      </c>
      <c r="KZ40" s="341" t="s">
        <v>3029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701" t="s">
        <v>2966</v>
      </c>
      <c r="KO41" s="70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3029</v>
      </c>
      <c r="KX41" s="297" t="s">
        <v>3157</v>
      </c>
      <c r="KY41" s="202">
        <f>42.17+45.14</f>
        <v>87.31</v>
      </c>
      <c r="KZ41" s="341" t="s">
        <v>3028</v>
      </c>
      <c r="LB41" s="627" t="s">
        <v>3132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3028</v>
      </c>
      <c r="KV42" s="467" t="s">
        <v>2659</v>
      </c>
      <c r="KW42" s="467"/>
      <c r="KX42" s="297" t="s">
        <v>3155</v>
      </c>
      <c r="KY42" s="202">
        <f>26.4+39.9</f>
        <v>66.3</v>
      </c>
      <c r="KZ42" s="285" t="s">
        <v>2966</v>
      </c>
      <c r="LB42" s="627" t="s">
        <v>3133</v>
      </c>
      <c r="LC42" s="624"/>
      <c r="LD42" s="550"/>
      <c r="LE42" s="555"/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3036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3185</v>
      </c>
      <c r="KY43" s="202">
        <v>6</v>
      </c>
      <c r="LD43" s="550"/>
      <c r="LE43" s="555"/>
      <c r="LF43" s="624" t="s">
        <v>2966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3040</v>
      </c>
      <c r="KQ44" s="568">
        <v>100</v>
      </c>
      <c r="KR44" s="550">
        <v>10</v>
      </c>
      <c r="KS44" s="555" t="s">
        <v>3098</v>
      </c>
      <c r="KV44" s="312" t="s">
        <v>2995</v>
      </c>
      <c r="KW44" s="260">
        <f>SUM(KY23:KY23)</f>
        <v>1196.72</v>
      </c>
      <c r="KX44" s="297" t="s">
        <v>3186</v>
      </c>
      <c r="KY44" s="202">
        <v>7.9</v>
      </c>
      <c r="KZ44" s="341" t="s">
        <v>2964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3099</v>
      </c>
      <c r="KT45" s="341" t="s">
        <v>2964</v>
      </c>
      <c r="KV45" s="451" t="s">
        <v>2983</v>
      </c>
      <c r="KW45" s="259">
        <v>0</v>
      </c>
      <c r="KX45" s="297" t="s">
        <v>3167</v>
      </c>
      <c r="KY45" s="336">
        <f>40.5+66.1</f>
        <v>106.6</v>
      </c>
      <c r="KZ45" s="341" t="s">
        <v>2965</v>
      </c>
      <c r="LD45" s="569"/>
      <c r="LE45" s="498"/>
      <c r="LF45" s="627" t="s">
        <v>2964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3042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3166</v>
      </c>
      <c r="KY46" s="336">
        <v>5.8</v>
      </c>
      <c r="LF46" s="627" t="s">
        <v>2965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3037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3047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3083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3055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3087</v>
      </c>
      <c r="KS51" s="498">
        <v>19.07</v>
      </c>
      <c r="KX51" s="550">
        <v>20</v>
      </c>
      <c r="KY51" s="563" t="s">
        <v>3113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3139</v>
      </c>
      <c r="KW52" s="568">
        <v>200</v>
      </c>
      <c r="KX52" s="550">
        <v>10</v>
      </c>
      <c r="KY52" s="555" t="s">
        <v>3115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3168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3151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3150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3141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3147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3148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3154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3131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2023-12-07T13:57:11Z</dcterms:modified>
</cp:coreProperties>
</file>