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A8255D9F-F7AF-4B0E-AF08-0F51B55E31E9}" xr6:coauthVersionLast="38" xr6:coauthVersionMax="47" xr10:uidLastSave="{00000000-0000-0000-0000-000000000000}"/>
  <bookViews>
    <workbookView xWindow="13875" yWindow="0" windowWidth="11580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79021"/>
</workbook>
</file>

<file path=xl/calcChain.xml><?xml version="1.0" encoding="utf-8"?>
<calcChain xmlns="http://schemas.openxmlformats.org/spreadsheetml/2006/main">
  <c r="MS15" i="32" l="1"/>
  <c r="MS2" i="32" s="1"/>
  <c r="MU18" i="32"/>
  <c r="MS33" i="32" s="1"/>
  <c r="MO40" i="32"/>
  <c r="MU36" i="32"/>
  <c r="MW3" i="32"/>
  <c r="MS36" i="32"/>
  <c r="MW22" i="32"/>
  <c r="MW2" i="32" s="1"/>
  <c r="MS30" i="32"/>
  <c r="MS31" i="32"/>
  <c r="MS32" i="32"/>
  <c r="MS34" i="32"/>
  <c r="MS35" i="32"/>
  <c r="MS37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E1" i="19" l="1"/>
  <c r="AS3" i="21"/>
  <c r="MU3" i="32"/>
  <c r="MU4" i="32"/>
  <c r="DQ2" i="28"/>
  <c r="O3" i="21"/>
  <c r="BC3" i="21"/>
  <c r="E19" i="31"/>
  <c r="AI8" i="28"/>
  <c r="AI1" i="19"/>
  <c r="BS1" i="19"/>
  <c r="W3" i="21"/>
  <c r="Y3" i="21" s="1"/>
  <c r="Y4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AI4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T21" i="26"/>
  <c r="T22" i="26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EG4" i="28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DI2" i="28"/>
  <c r="DI3" i="28" s="1"/>
  <c r="DI4" i="28" s="1"/>
  <c r="DO2" i="28"/>
  <c r="DO3" i="28" s="1"/>
  <c r="DO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E3" i="21" l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<sst xmlns="http://schemas.openxmlformats.org/spreadsheetml/2006/main" count="8420" uniqueCount="3461">
  <si>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</si>
  <si>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</si>
  <si>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</si>
  <si>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</si>
  <si>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</si>
  <si>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</si>
  <si>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</si>
  <si>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</si>
  <si>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</si>
  <si>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</si>
  <si>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</si>
  <si>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</si>
  <si>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</si>
  <si>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</si>
  <si>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</si>
  <si>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</si>
  <si>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</si>
  <si>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</si>
  <si>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</si>
  <si>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</si>
  <si>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</si>
  <si>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</si>
  <si>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</si>
  <si>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</si>
  <si>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</si>
  <si>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</si>
  <si>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</si>
  <si>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</si>
  <si>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</si>
  <si>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</si>
  <si>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</si>
  <si>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</si>
  <si>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</si>
  <si>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</si>
  <si>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</si>
  <si>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</si>
  <si>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</si>
  <si>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</si>
  <si>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</si>
  <si>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</si>
  <si>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</si>
  <si>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</si>
  <si>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</si>
  <si>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</si>
  <si>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</si>
  <si>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</si>
  <si>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</si>
  <si>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</si>
  <si>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</si>
  <si>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</si>
  <si>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</si>
  <si>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</si>
  <si>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</si>
  <si>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</si>
  <si>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</si>
  <si>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</si>
  <si>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</si>
  <si>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</si>
  <si>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</si>
  <si>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</si>
  <si>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</si>
  <si>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</si>
  <si>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</si>
  <si>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</si>
  <si>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</si>
  <si>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</si>
  <si>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</si>
  <si>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</si>
  <si>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</si>
  <si>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</si>
  <si>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</si>
  <si>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</si>
  <si>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</si>
  <si>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</si>
  <si>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</si>
  <si>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</si>
  <si>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</si>
  <si>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</si>
  <si>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</si>
  <si>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</si>
  <si>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</si>
  <si>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</si>
  <si>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</si>
  <si>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</si>
  <si>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</si>
  <si>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</si>
  <si>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</si>
  <si>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</si>
  <si>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</si>
  <si>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</si>
  <si>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</si>
  <si>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</si>
  <si>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</si>
  <si>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</si>
  <si>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</si>
  <si>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</si>
  <si>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</si>
  <si>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</si>
  <si>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</si>
  <si>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</si>
  <si>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</si>
  <si>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</si>
  <si>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</si>
  <si>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</si>
  <si>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</si>
  <si>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</si>
  <si>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</si>
  <si>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</si>
  <si>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</si>
  <si>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</si>
  <si>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</si>
  <si>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</si>
  <si>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</si>
  <si>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</si>
  <si>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</si>
  <si>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</si>
  <si>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</si>
  <si>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</si>
  <si>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</si>
  <si>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</si>
  <si>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</si>
  <si>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</si>
  <si>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</si>
  <si>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</si>
  <si>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</si>
  <si>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</si>
  <si>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</si>
  <si>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</si>
  <si>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</si>
  <si>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</si>
  <si>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</si>
  <si>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</si>
  <si>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</si>
  <si>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</si>
  <si>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</si>
  <si>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</si>
  <si>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</si>
  <si>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</si>
  <si>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</si>
  <si>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</si>
  <si>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</si>
  <si>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</si>
  <si>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</si>
  <si>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</si>
  <si>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</si>
  <si>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</si>
  <si>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</si>
  <si>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</si>
  <si>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</si>
  <si>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</si>
  <si>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</si>
  <si>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</si>
  <si>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</si>
  <si>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</si>
  <si>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</si>
  <si>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</si>
  <si>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</si>
  <si>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</si>
  <si>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</si>
  <si>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</si>
  <si>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</si>
  <si>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</si>
  <si>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</si>
  <si>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</si>
  <si>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</si>
  <si>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</si>
  <si>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</si>
  <si>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</si>
  <si>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</si>
  <si>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</si>
  <si>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</si>
  <si>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</si>
  <si>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</si>
  <si>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</si>
  <si>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</si>
  <si>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</si>
  <si>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</si>
  <si>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</si>
  <si>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</si>
  <si>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</si>
  <si>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</si>
  <si>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</si>
  <si>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</si>
  <si>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</si>
  <si>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</si>
  <si>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</si>
  <si>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</si>
  <si>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</si>
  <si>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</si>
  <si>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</si>
  <si>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</si>
  <si>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</si>
  <si>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</si>
  <si>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</si>
  <si>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</si>
  <si>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</si>
  <si>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</si>
  <si>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</si>
  <si>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</si>
  <si>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</si>
  <si>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</si>
  <si>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</si>
  <si>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</si>
  <si>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</si>
  <si>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</si>
  <si>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</si>
  <si>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</si>
  <si>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</si>
  <si>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</si>
  <si>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</si>
  <si>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</si>
  <si>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</si>
  <si>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</si>
  <si>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</si>
  <si>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</si>
  <si>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</si>
  <si>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</si>
  <si>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</si>
  <si>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</si>
  <si>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</si>
  <si>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</si>
  <si>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</si>
  <si>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</si>
  <si>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</si>
  <si>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</si>
  <si>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</si>
  <si>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</si>
  <si>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</si>
  <si>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</si>
  <si>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</si>
  <si>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</si>
  <si>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</si>
  <si>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</si>
  <si>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</si>
  <si>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</si>
  <si>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</si>
  <si>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</si>
  <si>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</si>
  <si>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</si>
  <si>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</si>
  <si>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</si>
  <si>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</si>
  <si>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</si>
  <si>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</si>
  <si>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</si>
  <si>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</si>
  <si>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</si>
  <si>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</si>
  <si>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</si>
  <si>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</si>
  <si>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</si>
  <si>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</si>
  <si>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</si>
  <si>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</si>
  <si>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</si>
  <si>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</si>
  <si>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</si>
  <si>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</si>
  <si>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</si>
  <si>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</si>
  <si>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</si>
  <si>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</si>
  <si>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</si>
  <si>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</si>
  <si>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</si>
  <si>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</si>
  <si>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</si>
  <si>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</si>
  <si>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</si>
  <si>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</si>
  <si>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</si>
  <si>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</si>
  <si>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</si>
  <si>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</si>
  <si>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</si>
  <si>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</si>
  <si>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</si>
  <si>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</si>
  <si>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</si>
  <si>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</si>
  <si>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</si>
  <si>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</si>
  <si>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</si>
  <si>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</si>
  <si>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</si>
  <si>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</si>
  <si>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</si>
  <si>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</si>
  <si>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</si>
  <si>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</si>
  <si>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</si>
  <si>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</si>
  <si>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</si>
  <si>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</si>
  <si>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</si>
  <si>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</si>
  <si>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</si>
  <si>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</si>
  <si>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</si>
  <si>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</si>
  <si>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</si>
  <si>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</si>
  <si>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</si>
  <si>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</si>
  <si>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</si>
  <si>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</si>
  <si>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</si>
  <si>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</si>
  <si>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</si>
  <si>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</si>
  <si>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</si>
  <si>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</si>
  <si>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</si>
  <si>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</si>
  <si>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</si>
  <si>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</si>
  <si>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</si>
  <si>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</si>
  <si>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</si>
  <si>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</si>
  <si>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</si>
  <si>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</si>
  <si>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</si>
  <si>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</si>
  <si>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</si>
  <si>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</si>
  <si>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</si>
  <si>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</si>
  <si>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</si>
  <si>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</si>
  <si>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</si>
  <si>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</si>
  <si>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</si>
  <si>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</si>
  <si>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</si>
  <si>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</si>
  <si>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</si>
  <si>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</si>
  <si>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</si>
  <si>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</si>
  <si>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</si>
  <si>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</si>
  <si>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</si>
  <si>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</si>
  <si>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</si>
  <si>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</si>
  <si>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</si>
  <si>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</si>
  <si>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</si>
  <si>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</si>
  <si>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</si>
  <si>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</si>
  <si>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</si>
  <si>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</si>
  <si>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</si>
  <si>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</si>
  <si>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</si>
  <si>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</si>
  <si>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</si>
  <si>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</si>
  <si>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</si>
  <si>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</si>
  <si>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</si>
  <si>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</si>
  <si>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</si>
  <si>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</si>
  <si>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</si>
  <si>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</si>
  <si>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</si>
  <si>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</si>
  <si>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</si>
  <si>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</si>
  <si>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</si>
  <si>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</si>
  <si>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</si>
  <si>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</si>
  <si>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</si>
  <si>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</si>
  <si>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</si>
  <si>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</si>
  <si>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</si>
  <si>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</si>
  <si>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</si>
  <si>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</si>
  <si>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</si>
  <si>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</si>
  <si>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</si>
  <si>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</si>
  <si>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</si>
  <si>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</si>
  <si>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</si>
  <si>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</si>
  <si>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</si>
  <si>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</si>
  <si>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</si>
  <si>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</si>
  <si>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</si>
  <si>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</si>
  <si>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</si>
  <si>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</si>
  <si>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</si>
  <si>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</si>
  <si>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</si>
  <si>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</si>
  <si>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</si>
  <si>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</si>
  <si>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</si>
  <si>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</si>
  <si>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</si>
  <si>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</si>
  <si>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</si>
  <si>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</si>
  <si>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</si>
  <si>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</si>
  <si>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</si>
  <si>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</si>
  <si>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</si>
  <si>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</si>
  <si>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</si>
  <si>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</si>
  <si>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</si>
  <si>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</si>
  <si>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</si>
  <si>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</si>
  <si>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</si>
  <si>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</si>
  <si>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</si>
  <si>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</si>
  <si>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</si>
  <si>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</si>
  <si>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</si>
  <si>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</si>
  <si>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</si>
  <si>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</si>
  <si>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</si>
  <si>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</si>
  <si>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</si>
  <si>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</si>
  <si>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</si>
  <si>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</si>
  <si>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</si>
  <si>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</si>
  <si>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</si>
  <si>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</si>
  <si>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</si>
  <si>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</si>
  <si>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</si>
  <si>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</si>
  <si>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</si>
  <si>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</si>
  <si>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</si>
  <si>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</si>
  <si>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</si>
  <si>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</si>
  <si>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</si>
  <si>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</si>
  <si>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</si>
  <si>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</si>
  <si>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</si>
  <si>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</si>
  <si>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</si>
  <si>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</si>
  <si>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</si>
  <si>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</si>
  <si>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</si>
  <si>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</si>
  <si>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</si>
  <si>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</si>
  <si>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</si>
  <si>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</si>
  <si>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</si>
  <si>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</si>
  <si>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</si>
  <si>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</si>
  <si>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</si>
  <si>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</si>
  <si>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</si>
  <si>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</si>
  <si>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</si>
  <si>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</si>
  <si>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</si>
  <si>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</si>
  <si>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</si>
  <si>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</si>
  <si>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</si>
  <si>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</si>
  <si>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</si>
  <si>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</si>
  <si>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</si>
  <si>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</si>
  <si>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</si>
  <si>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</si>
  <si>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</si>
  <si>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</si>
  <si>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</si>
  <si>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</si>
  <si>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</si>
  <si>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</si>
  <si>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</si>
  <si>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</si>
  <si>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</si>
  <si>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</si>
  <si>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</si>
  <si>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</si>
  <si>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</si>
  <si>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</si>
  <si>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</si>
  <si>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</si>
  <si>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</si>
  <si>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</si>
  <si>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</si>
  <si>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</si>
  <si>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</si>
  <si>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</si>
  <si>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</si>
  <si>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</si>
  <si>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</si>
  <si>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</si>
  <si>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</si>
  <si>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</si>
  <si>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</si>
  <si>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</si>
  <si>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</si>
  <si>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</si>
  <si>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</si>
  <si>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</si>
  <si>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</si>
  <si>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</si>
  <si>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</si>
  <si>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</si>
  <si>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</si>
  <si>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</si>
  <si>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</si>
  <si>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</si>
  <si>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</si>
  <si>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</si>
  <si>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</si>
  <si>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</si>
  <si>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</si>
  <si>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</si>
  <si>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</si>
  <si>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</si>
  <si>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</si>
  <si>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</si>
  <si>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</si>
  <si>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</si>
  <si>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</si>
  <si>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</si>
  <si>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</si>
  <si>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</si>
  <si>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</si>
  <si>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</si>
  <si>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</si>
  <si>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</si>
  <si>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</si>
  <si>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</si>
  <si>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</si>
  <si>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</si>
  <si>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</si>
  <si>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</si>
  <si>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</si>
  <si>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</si>
  <si>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</si>
  <si>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</si>
  <si>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</si>
  <si>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</si>
  <si>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</si>
  <si>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</si>
  <si>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</si>
  <si>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</si>
  <si>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</si>
  <si>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</si>
  <si>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</si>
  <si>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</si>
  <si>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</si>
  <si>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</si>
  <si>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</si>
  <si>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</si>
  <si>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</si>
  <si>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</si>
  <si>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</si>
  <si>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</si>
  <si>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</si>
  <si>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</si>
  <si>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</si>
  <si>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</si>
  <si>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</si>
  <si>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</si>
  <si>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</si>
  <si>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</si>
  <si>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</si>
  <si>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</si>
  <si>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</si>
  <si>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</si>
  <si>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</si>
  <si>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</si>
  <si>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</si>
  <si>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</si>
  <si>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</si>
  <si>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</si>
  <si>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</si>
  <si>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</si>
  <si>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</si>
  <si>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</si>
  <si>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</si>
  <si>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</si>
  <si>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</si>
  <si>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</si>
  <si>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</si>
  <si>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</si>
  <si>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</si>
  <si>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</si>
  <si>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</si>
  <si>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</si>
  <si>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</si>
  <si>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</si>
  <si>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</si>
  <si>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</si>
  <si>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</si>
  <si>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</si>
  <si>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</si>
  <si>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</si>
  <si>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</si>
  <si>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</si>
  <si>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</si>
  <si>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</si>
  <si>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</si>
  <si>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</si>
  <si>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</si>
  <si>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</si>
  <si>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</si>
  <si>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</si>
  <si>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</si>
  <si>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</si>
  <si>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</si>
  <si>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</si>
  <si>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</si>
  <si>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</si>
  <si>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</si>
  <si>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</si>
  <si>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</si>
  <si>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</si>
  <si>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</si>
  <si>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</si>
  <si>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</si>
  <si>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</si>
  <si>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</si>
  <si>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</si>
  <si>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</si>
  <si>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</si>
  <si>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</si>
  <si>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</si>
  <si>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</si>
  <si>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</si>
  <si>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</si>
  <si>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</si>
  <si>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</si>
  <si>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</si>
  <si>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</si>
  <si>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</si>
  <si>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</si>
  <si>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</si>
  <si>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</si>
  <si>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</si>
  <si>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</si>
  <si>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</si>
  <si>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</si>
  <si>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</si>
  <si>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</si>
  <si>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</si>
  <si>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</si>
  <si>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</si>
  <si>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</si>
  <si>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</si>
  <si>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</si>
  <si>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</si>
  <si>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</si>
  <si>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</si>
  <si>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</si>
  <si>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</si>
  <si>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</si>
  <si>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</si>
  <si>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</si>
  <si>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</si>
  <si>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</si>
  <si>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</si>
  <si>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</si>
  <si>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</si>
  <si>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</si>
  <si>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</si>
  <si>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</si>
  <si>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</si>
  <si>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</si>
  <si>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</si>
  <si>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</si>
  <si>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</si>
  <si>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</si>
  <si>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</si>
  <si>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</si>
  <si>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</si>
  <si>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</si>
  <si>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</si>
  <si>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</si>
  <si>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</si>
  <si>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</si>
  <si>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</si>
  <si>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</si>
  <si>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</si>
  <si>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</si>
  <si>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</si>
  <si>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</si>
  <si>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</si>
  <si>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</si>
  <si>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</si>
  <si>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</si>
  <si>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</si>
  <si>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</si>
  <si>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</si>
  <si>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</si>
  <si>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</si>
  <si>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</si>
  <si>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</si>
  <si>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</si>
  <si>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</si>
  <si>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</si>
  <si>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</si>
  <si>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</si>
  <si>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</si>
  <si>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</si>
  <si>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</si>
  <si>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</si>
  <si>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</si>
  <si>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</si>
  <si>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</si>
  <si>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</si>
  <si>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</si>
  <si>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</si>
  <si>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</si>
  <si>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</si>
  <si>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</si>
  <si>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</si>
  <si>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</si>
  <si>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</si>
  <si>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</si>
  <si>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</si>
  <si>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</si>
  <si>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</si>
  <si>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</si>
  <si>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</si>
  <si>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</si>
  <si>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</si>
  <si>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</si>
  <si>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</si>
  <si>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</si>
  <si>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</si>
  <si>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</si>
  <si>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</si>
  <si>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</si>
  <si>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</si>
  <si>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</si>
  <si>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</si>
  <si>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</si>
  <si>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</si>
  <si>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</si>
  <si>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</si>
  <si>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</si>
  <si>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</si>
  <si>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</si>
  <si>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</si>
  <si>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</si>
  <si>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</si>
  <si>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</si>
  <si>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</si>
  <si>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</si>
  <si>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</si>
  <si>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</si>
  <si>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</si>
  <si>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</si>
  <si>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</si>
  <si>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</si>
  <si>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</si>
  <si>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</si>
  <si>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</si>
  <si>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</si>
  <si>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</si>
  <si>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</si>
  <si>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</si>
  <si>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</si>
  <si>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</si>
  <si>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</si>
  <si>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</si>
  <si>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</si>
  <si>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</si>
  <si>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</si>
  <si>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</si>
  <si>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</si>
  <si>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</si>
  <si>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</si>
  <si>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</si>
  <si>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</si>
  <si>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</si>
  <si>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</si>
  <si>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</si>
  <si>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</si>
  <si>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</si>
  <si>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</si>
  <si>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</si>
  <si>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</si>
  <si>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</si>
  <si>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</si>
  <si>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</si>
  <si>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</si>
  <si>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</si>
  <si>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</si>
  <si>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</si>
  <si>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</si>
  <si>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</si>
  <si>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</si>
  <si>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</si>
  <si>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</si>
  <si>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</si>
  <si>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</si>
  <si>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</si>
  <si>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</si>
  <si>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</si>
  <si>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</si>
  <si>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</si>
  <si>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</si>
  <si>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</si>
  <si>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</si>
  <si>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</si>
  <si>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</si>
  <si>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</si>
  <si>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</si>
  <si>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</si>
  <si>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</si>
  <si>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</si>
  <si>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</si>
  <si>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</si>
  <si>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</si>
  <si>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</si>
  <si>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</si>
  <si>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</si>
  <si>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</si>
  <si>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</si>
  <si>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</si>
  <si>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</si>
  <si>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</si>
  <si>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</si>
  <si>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</si>
  <si>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</si>
  <si>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</si>
  <si>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</si>
  <si>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</si>
  <si>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</si>
  <si>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</si>
  <si>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</si>
  <si>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</si>
  <si>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</si>
  <si>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</si>
  <si>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</si>
  <si>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</si>
  <si>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</si>
  <si>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</si>
  <si>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</si>
  <si>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</si>
  <si>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</si>
  <si>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</si>
  <si>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</si>
  <si>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</si>
  <si>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</si>
  <si>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</si>
  <si>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</si>
  <si>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</si>
  <si>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</si>
  <si>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</si>
  <si>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</si>
  <si>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</si>
  <si>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</si>
  <si>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</si>
  <si>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</si>
  <si>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</si>
  <si>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</si>
  <si>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</si>
  <si>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</si>
  <si>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</si>
  <si>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</si>
  <si>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</si>
  <si>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</si>
  <si>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</si>
  <si>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</si>
  <si>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</si>
  <si>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</si>
  <si>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</si>
  <si>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</si>
  <si>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</si>
  <si>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</si>
  <si>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</si>
  <si>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</si>
  <si>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</si>
  <si>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</si>
  <si>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</si>
  <si>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</si>
  <si>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</si>
  <si>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</si>
  <si>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</si>
  <si>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</si>
  <si>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</si>
  <si>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</si>
  <si>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</si>
  <si>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</si>
  <si>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</si>
  <si>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</si>
  <si>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</si>
  <si>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</si>
  <si>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</si>
  <si>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</si>
  <si>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</si>
  <si>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</si>
  <si>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</si>
  <si>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</si>
  <si>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</si>
  <si>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</si>
  <si>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</si>
  <si>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</si>
  <si>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</si>
  <si>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</si>
  <si>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</si>
  <si>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</si>
  <si>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</si>
  <si>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</si>
  <si>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</si>
  <si>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</si>
  <si>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</si>
  <si>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</si>
  <si>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</si>
  <si>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</si>
  <si>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</si>
  <si>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</si>
  <si>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</si>
  <si>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</si>
  <si>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</si>
  <si>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</si>
  <si>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</si>
  <si>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</si>
  <si>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</si>
  <si>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</si>
  <si>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</si>
  <si>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</si>
  <si>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</si>
  <si>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</si>
  <si>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</si>
  <si>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</si>
  <si>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</si>
  <si>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</si>
  <si>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</si>
  <si>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</si>
  <si>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</si>
  <si>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</si>
  <si>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</si>
  <si>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</si>
  <si>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</si>
  <si>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</si>
  <si>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</si>
  <si>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</si>
  <si>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</si>
  <si>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</si>
  <si>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</si>
  <si>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</si>
  <si>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</si>
  <si>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</si>
  <si>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</si>
  <si>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</si>
  <si>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</si>
  <si>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</si>
  <si>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</si>
  <si>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</si>
  <si>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</si>
  <si>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</si>
  <si>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</si>
  <si>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</si>
  <si>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</si>
  <si>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</si>
  <si>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</si>
  <si>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</si>
  <si>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</si>
  <si>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</si>
  <si>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</si>
  <si>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</si>
  <si>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</si>
  <si>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</si>
  <si>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</si>
  <si>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</si>
  <si>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</si>
  <si>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</si>
  <si>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</si>
  <si>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</si>
  <si>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</si>
  <si>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</si>
  <si>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</si>
  <si>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</si>
  <si>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</si>
  <si>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</si>
  <si>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</si>
  <si>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</si>
  <si>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</si>
  <si>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</si>
  <si>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</si>
  <si>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</si>
  <si>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</si>
  <si>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</si>
  <si>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</si>
  <si>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</si>
  <si>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</si>
  <si>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</si>
  <si>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</si>
  <si>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</si>
  <si>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</si>
  <si>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</si>
  <si>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</si>
  <si>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</si>
  <si>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</si>
  <si>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</si>
  <si>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</si>
  <si>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</si>
  <si>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</si>
  <si>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</si>
  <si>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</si>
  <si>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</si>
  <si>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</si>
  <si>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</si>
  <si>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</si>
  <si>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</si>
  <si>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</si>
  <si>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</si>
  <si>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</si>
  <si>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</si>
  <si>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</si>
  <si>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</si>
  <si>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</si>
  <si>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</si>
  <si>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</si>
  <si>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</si>
  <si>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</si>
  <si>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</si>
  <si>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</si>
  <si>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</si>
  <si>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</si>
  <si>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</si>
  <si>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</si>
  <si>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</si>
  <si>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</si>
  <si>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</si>
  <si>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</si>
  <si>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</si>
  <si>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</si>
  <si>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</si>
  <si>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</si>
  <si>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</si>
  <si>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</si>
  <si>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</si>
  <si>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</si>
  <si>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</si>
  <si>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</si>
  <si>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</si>
  <si>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</si>
  <si>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</si>
  <si>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</si>
  <si>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</si>
  <si>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</si>
  <si>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</si>
  <si>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</si>
  <si>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</si>
  <si>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</si>
  <si>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</si>
  <si>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</si>
  <si>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</si>
  <si>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</si>
  <si>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</si>
  <si>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</si>
  <si>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</si>
  <si>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</si>
  <si>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</si>
  <si>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</si>
  <si>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</si>
  <si>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</si>
  <si>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</si>
  <si>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</si>
  <si>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</si>
  <si>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</si>
  <si>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</si>
  <si>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</si>
  <si>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</si>
  <si>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</si>
  <si>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</si>
  <si>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</si>
  <si>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</si>
  <si>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</si>
  <si>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</si>
  <si>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</si>
  <si>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</si>
  <si>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</si>
  <si>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</si>
  <si>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</si>
  <si>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</si>
  <si>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</si>
  <si>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</si>
  <si>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</si>
  <si>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</si>
  <si>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</si>
  <si>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</si>
  <si>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</si>
  <si>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</si>
  <si>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</si>
  <si>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</si>
  <si>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</si>
  <si>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</si>
  <si>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</si>
  <si>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</si>
  <si>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</si>
  <si>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</si>
  <si>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</si>
  <si>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</si>
  <si>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</si>
  <si>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</si>
  <si>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</si>
  <si>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</si>
  <si>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</si>
  <si>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</si>
  <si>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</si>
  <si>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</si>
  <si>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</si>
  <si>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</si>
  <si>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</si>
  <si>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</si>
  <si>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</si>
  <si>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</si>
  <si>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</si>
  <si>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</si>
  <si>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</si>
  <si>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</si>
  <si>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</si>
  <si>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</si>
  <si>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</si>
  <si>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</si>
  <si>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</si>
  <si>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</si>
  <si>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</si>
  <si>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</si>
  <si>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</si>
  <si>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</si>
  <si>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</si>
  <si>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</si>
  <si>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</si>
  <si>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</si>
  <si>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</si>
  <si>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</si>
  <si>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</si>
  <si>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</si>
  <si>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</si>
  <si>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</si>
  <si>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</si>
  <si>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</si>
  <si>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</si>
  <si>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</si>
  <si>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</si>
  <si>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</si>
  <si>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</si>
  <si>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</si>
  <si>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</si>
  <si>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</si>
  <si>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</si>
  <si>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</si>
  <si>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</si>
  <si>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</si>
  <si>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</si>
  <si>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</si>
  <si>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</si>
  <si>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</si>
  <si>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</si>
  <si>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</si>
  <si>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</si>
  <si>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</si>
  <si>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</si>
  <si>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</si>
  <si>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</si>
  <si>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</si>
  <si>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</si>
  <si>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</si>
  <si>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</si>
  <si>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</si>
  <si>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</si>
  <si>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</si>
  <si>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</si>
  <si>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</si>
  <si>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</si>
  <si>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</si>
  <si>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</si>
  <si>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</si>
  <si>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</si>
  <si>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</si>
  <si>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</si>
  <si>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</si>
  <si>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</si>
  <si>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</si>
  <si>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</si>
  <si>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</si>
  <si>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</si>
  <si>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</si>
  <si>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</si>
  <si>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</si>
  <si>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</si>
  <si>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</si>
  <si>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</si>
  <si>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</si>
  <si>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</si>
  <si>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</si>
  <si>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</si>
  <si>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</si>
  <si>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</si>
  <si>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</si>
  <si>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</si>
  <si>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</si>
  <si>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</si>
  <si>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</si>
  <si>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</si>
  <si>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</si>
  <si>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</si>
  <si>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</si>
  <si>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</si>
  <si>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</si>
  <si>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</si>
  <si>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</si>
  <si>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</si>
  <si>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</si>
  <si>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</si>
  <si>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</si>
  <si>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</si>
  <si>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</si>
  <si>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</si>
  <si>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</si>
  <si>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</si>
  <si>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</si>
  <si>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</si>
  <si>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</si>
  <si>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</si>
  <si>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</si>
  <si>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</si>
  <si>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</si>
  <si>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</si>
  <si>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</si>
  <si>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</si>
  <si>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</si>
  <si>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</si>
  <si>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</si>
  <si>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</si>
  <si>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</si>
  <si>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</si>
  <si>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</si>
  <si>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</si>
  <si>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</si>
  <si>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</si>
  <si>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</si>
  <si>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</si>
  <si>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</si>
  <si>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</si>
  <si>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</si>
  <si>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</si>
  <si>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</si>
  <si>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</si>
  <si>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</si>
  <si>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</si>
  <si>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</si>
  <si>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</si>
  <si>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</si>
  <si>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</si>
  <si>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</si>
  <si>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</si>
  <si>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</si>
  <si>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</si>
  <si>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</si>
  <si>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</si>
  <si>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</si>
  <si>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</si>
  <si>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</si>
  <si>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</si>
  <si>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</si>
  <si>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</si>
  <si>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</si>
  <si>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</si>
  <si>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</si>
  <si>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</si>
  <si>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</si>
  <si>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</si>
  <si>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</si>
  <si>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</si>
  <si>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</si>
  <si>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</si>
  <si>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</si>
  <si>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</si>
  <si>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</si>
  <si>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</si>
  <si>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</si>
  <si>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</si>
  <si>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</si>
  <si>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</si>
  <si>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</si>
  <si>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</si>
  <si>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</si>
  <si>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</si>
  <si>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</si>
  <si>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</si>
  <si>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</si>
  <si>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</si>
  <si>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</si>
  <si>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</si>
  <si>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</si>
  <si>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</si>
  <si>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</si>
  <si>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</si>
  <si>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</si>
  <si>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</si>
  <si>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</si>
  <si>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</si>
  <si>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</si>
  <si>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</si>
  <si>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</si>
  <si>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</si>
  <si>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</si>
  <si>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</si>
  <si>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</si>
  <si>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</si>
  <si>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</si>
  <si>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</si>
  <si>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</si>
  <si>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</si>
  <si>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</si>
  <si>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</si>
  <si>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</si>
  <si>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</si>
  <si>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</si>
  <si>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</si>
  <si>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</si>
  <si>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</si>
  <si>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</si>
  <si>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</si>
  <si>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</si>
  <si>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</si>
  <si>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</si>
  <si>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</si>
  <si>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</si>
  <si>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</si>
  <si>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</si>
  <si>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</si>
  <si>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</si>
  <si>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</si>
  <si>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</si>
  <si>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</si>
  <si>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</si>
  <si>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</si>
  <si>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</si>
  <si>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</si>
  <si>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</si>
  <si>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</si>
  <si>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</si>
  <si>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</si>
  <si>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</si>
  <si>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</si>
  <si>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</si>
  <si>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</si>
  <si>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</si>
  <si>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</si>
  <si>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</si>
  <si>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</si>
  <si>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</si>
  <si>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</si>
  <si>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</si>
  <si>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</si>
  <si>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</si>
  <si>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</si>
  <si>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</si>
  <si>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</si>
  <si>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</si>
  <si>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</si>
  <si>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</si>
  <si>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</si>
  <si>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</si>
  <si>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</si>
  <si>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</si>
  <si>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</si>
  <si>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</si>
  <si>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</si>
  <si>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</si>
  <si>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</si>
  <si>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</si>
  <si>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</si>
  <si>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</si>
  <si>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</si>
  <si>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</si>
  <si>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</si>
  <si>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</si>
  <si>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</si>
  <si>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</si>
  <si>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</si>
  <si>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</si>
  <si>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</si>
  <si>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</si>
  <si>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</si>
  <si>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</si>
  <si>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</si>
  <si>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</si>
  <si>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</si>
  <si>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</si>
  <si>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</si>
  <si>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</si>
  <si>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</si>
  <si>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</si>
  <si>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</si>
  <si>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</si>
  <si>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</si>
  <si>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</si>
  <si>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</si>
  <si>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</si>
  <si>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</si>
  <si>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</si>
  <si>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</si>
  <si>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</si>
  <si>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</si>
  <si>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</si>
  <si>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</si>
  <si>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</si>
  <si>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</si>
  <si>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</si>
  <si>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</si>
  <si>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</si>
  <si>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</si>
  <si>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</si>
  <si>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</si>
  <si>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</si>
  <si>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</si>
  <si>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</si>
  <si>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</si>
  <si>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</si>
  <si>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</si>
  <si>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</si>
  <si>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</si>
  <si>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</si>
  <si>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</si>
  <si>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</si>
  <si>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</si>
  <si>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</si>
  <si>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</si>
  <si>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</si>
  <si>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</si>
  <si>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</si>
  <si>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</si>
  <si>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</si>
  <si>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</si>
  <si>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</si>
  <si>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</si>
  <si>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</si>
  <si>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</si>
  <si>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</si>
  <si>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</si>
  <si>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</si>
  <si>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</si>
  <si>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</si>
  <si>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</si>
  <si>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</si>
  <si>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</si>
  <si>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</si>
  <si>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</si>
  <si>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</si>
  <si>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</si>
  <si>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</si>
  <si>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</si>
  <si>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</si>
  <si>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</si>
  <si>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</si>
  <si>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</si>
  <si>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</si>
  <si>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</si>
  <si>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</si>
  <si>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</si>
  <si>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</si>
  <si>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</si>
  <si>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</si>
  <si>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</si>
  <si>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</si>
  <si>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</si>
  <si>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</si>
  <si>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</si>
  <si>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</si>
  <si>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</si>
  <si>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</si>
  <si>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</si>
  <si>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</si>
  <si>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</si>
  <si>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</si>
  <si>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</si>
  <si>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</si>
  <si>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</si>
  <si>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</si>
  <si>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</si>
  <si>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</si>
  <si>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</si>
  <si>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</si>
  <si>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</si>
  <si>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</si>
  <si>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</si>
  <si>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</si>
  <si>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</si>
  <si>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</si>
  <si>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</si>
  <si>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</si>
  <si>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</si>
  <si>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</si>
  <si>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</si>
  <si>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</si>
  <si>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</si>
  <si>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</si>
  <si>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</si>
  <si>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</si>
  <si>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</si>
  <si>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</si>
  <si>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</si>
  <si>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</si>
  <si>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</si>
  <si>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</si>
  <si>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</si>
  <si>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</si>
  <si>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</si>
  <si>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</si>
  <si>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</si>
  <si>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</si>
  <si>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</si>
  <si>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</si>
  <si>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</si>
  <si>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</si>
  <si>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</si>
  <si>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</si>
  <si>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</si>
  <si>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</si>
  <si>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</si>
  <si>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</si>
  <si>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</si>
  <si>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</si>
  <si>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</si>
  <si>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</si>
  <si>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</si>
  <si>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</si>
  <si>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</si>
  <si>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</si>
  <si>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</si>
  <si>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</si>
  <si>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</si>
  <si>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</si>
  <si>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</si>
  <si>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</si>
  <si>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</si>
  <si>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</si>
  <si>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</si>
  <si>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</si>
  <si>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</si>
  <si>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</si>
  <si>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</si>
  <si>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</si>
  <si>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</si>
  <si>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</si>
  <si>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</si>
  <si>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</si>
  <si>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</si>
  <si>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</si>
  <si>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</si>
  <si>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</si>
  <si>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</si>
  <si>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</si>
  <si>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</si>
  <si>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</si>
  <si>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</si>
  <si>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</si>
  <si>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</si>
  <si>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</si>
  <si>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</si>
  <si>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</si>
  <si>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</si>
  <si>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</si>
  <si>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</si>
  <si>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</si>
  <si>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</si>
  <si>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</si>
  <si>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</si>
  <si>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</si>
  <si>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</si>
  <si>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</si>
  <si>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</si>
  <si>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</si>
  <si>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</si>
  <si>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</si>
  <si>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</si>
  <si>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</si>
  <si>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</si>
  <si>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</si>
  <si>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</si>
  <si>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</si>
  <si>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</si>
  <si>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</si>
  <si>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</si>
  <si>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</si>
  <si>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</si>
  <si>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</si>
  <si>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</si>
  <si>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</si>
  <si>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</si>
  <si>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</si>
  <si>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</si>
  <si>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</si>
  <si>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</si>
  <si>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</si>
  <si>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</si>
  <si>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</si>
  <si>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</si>
  <si>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</si>
  <si>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</si>
  <si>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</si>
  <si>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</si>
  <si>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</si>
  <si>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</si>
  <si>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</si>
  <si>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</si>
  <si>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</si>
  <si>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</si>
  <si>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</si>
  <si>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</si>
  <si>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</si>
  <si>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</si>
  <si>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</si>
  <si>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</si>
  <si>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</si>
  <si>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</si>
  <si>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</si>
  <si>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</si>
  <si>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</si>
  <si>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</si>
  <si>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</si>
  <si>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</si>
  <si>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</si>
  <si>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</si>
  <si>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</si>
  <si>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</si>
  <si>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</si>
  <si>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</si>
  <si>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</si>
  <si>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</si>
  <si>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</si>
  <si>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</si>
  <si>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</si>
  <si>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</si>
  <si>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</si>
  <si>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</si>
  <si>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</si>
  <si>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</si>
  <si>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</si>
  <si>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</si>
  <si>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</si>
  <si>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</si>
  <si>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</si>
  <si>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</si>
  <si>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</si>
  <si>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</si>
  <si>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</si>
  <si>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</si>
  <si>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</si>
  <si>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</si>
  <si>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</si>
  <si>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</si>
  <si>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</si>
  <si>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</si>
  <si>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</si>
  <si>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</si>
  <si>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</si>
  <si>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</si>
  <si>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</si>
  <si>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</si>
  <si>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</si>
  <si>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</si>
  <si>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</si>
  <si>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</si>
  <si>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</si>
  <si>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</si>
  <si>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</si>
  <si>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</si>
  <si>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</si>
  <si>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</si>
  <si>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</si>
  <si>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</si>
  <si>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</si>
  <si>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</si>
  <si>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</si>
  <si>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</si>
  <si>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</si>
  <si>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</si>
  <si>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</si>
  <si>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</si>
  <si>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</si>
  <si>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</si>
  <si>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</si>
  <si>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</si>
  <si>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</si>
  <si>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</si>
  <si>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</si>
  <si>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</si>
  <si>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</si>
  <si>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</si>
  <si>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</si>
  <si>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</si>
  <si>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</si>
  <si>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</si>
  <si>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</si>
  <si>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</si>
  <si>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</si>
  <si>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</si>
  <si>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</si>
  <si>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</si>
  <si>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</si>
  <si>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</si>
  <si>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</si>
  <si>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</si>
  <si>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</si>
  <si>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</si>
  <si>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</si>
  <si>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</si>
  <si>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</si>
  <si>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</si>
  <si>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</si>
  <si>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</si>
  <si>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</si>
  <si>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</si>
  <si>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</si>
  <si>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</si>
  <si>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</si>
  <si>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</si>
  <si>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</si>
  <si>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</si>
  <si>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</si>
  <si>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</si>
  <si>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</si>
  <si>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</si>
  <si>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</si>
  <si>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</si>
  <si>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</si>
  <si>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</si>
  <si>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</si>
  <si>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</si>
  <si>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</si>
  <si>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</si>
  <si>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</si>
  <si>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</si>
  <si>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</si>
  <si>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</si>
  <si>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</si>
  <si>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</si>
  <si>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</si>
  <si>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</si>
  <si>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</si>
  <si>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</si>
  <si>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</si>
  <si>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</si>
  <si>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</si>
  <si>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</si>
  <si>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</si>
  <si>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</si>
  <si>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</si>
  <si>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</si>
  <si>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</si>
  <si>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</si>
  <si>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</si>
  <si>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</si>
  <si>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</si>
  <si>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</si>
  <si>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</si>
  <si>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</si>
  <si>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</si>
  <si>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</si>
  <si>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</si>
  <si>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</si>
  <si>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</si>
  <si>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</si>
  <si>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</si>
  <si>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</si>
  <si>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</si>
  <si>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</si>
  <si>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</si>
  <si>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</si>
  <si>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</si>
  <si>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</si>
  <si>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</si>
  <si>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</si>
  <si>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</si>
  <si>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</si>
  <si>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</si>
  <si>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</si>
  <si>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</si>
  <si>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</si>
  <si>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</si>
  <si>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</si>
  <si>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</si>
  <si>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</si>
  <si>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</si>
  <si>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</si>
  <si>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</si>
  <si>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</si>
  <si>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</si>
  <si>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</si>
  <si>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</si>
  <si>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</si>
  <si>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</si>
  <si>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</si>
  <si>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</si>
  <si>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</si>
  <si>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</si>
  <si>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</si>
  <si>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</si>
  <si>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</si>
  <si>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</si>
  <si>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</si>
  <si>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</si>
  <si>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</si>
  <si>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</si>
  <si>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</si>
  <si>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</si>
  <si>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</si>
  <si>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</si>
  <si>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</si>
  <si>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</si>
  <si>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</si>
  <si>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</si>
  <si>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</si>
  <si>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</si>
  <si>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</si>
  <si>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</si>
  <si>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</si>
  <si>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</si>
  <si>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</si>
  <si>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</si>
  <si>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</si>
  <si>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</si>
  <si>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</si>
  <si>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</si>
  <si>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</si>
  <si>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</si>
  <si>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</si>
  <si>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</si>
  <si>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</si>
  <si>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</si>
  <si>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</si>
  <si>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</si>
  <si>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</si>
  <si>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</si>
  <si>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</si>
  <si>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</si>
  <si>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</si>
  <si>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</si>
  <si>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</si>
  <si>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</si>
  <si>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</si>
  <si>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</si>
  <si>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</si>
  <si>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</si>
  <si>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</si>
  <si>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</si>
  <si>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</si>
  <si>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</si>
  <si>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</si>
  <si>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</si>
  <si>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</si>
  <si>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</si>
  <si>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</si>
  <si>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</si>
  <si>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</si>
  <si>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</si>
  <si>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</si>
  <si>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</si>
  <si>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</si>
  <si>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</si>
  <si>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</si>
  <si>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</si>
  <si>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</si>
  <si>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</si>
  <si>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</si>
  <si>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</si>
  <si>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</si>
  <si>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</si>
  <si>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</si>
  <si>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</si>
  <si>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</si>
  <si>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</si>
  <si>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</si>
  <si>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</si>
  <si>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</si>
  <si>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</si>
  <si>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</si>
  <si>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</si>
  <si>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</si>
  <si>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</si>
  <si>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</si>
  <si>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</si>
  <si>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</si>
  <si>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</si>
  <si>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</si>
  <si>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</si>
  <si>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</si>
  <si>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</si>
  <si>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</si>
  <si>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</si>
  <si>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</si>
  <si>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</si>
  <si>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</si>
  <si>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</si>
  <si>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</si>
  <si>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</si>
  <si>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</si>
  <si>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</si>
  <si>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</si>
  <si>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</si>
  <si>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</si>
  <si>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</si>
  <si>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</si>
  <si>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</si>
  <si>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</si>
  <si>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</si>
  <si>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</si>
  <si>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</si>
  <si>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</si>
  <si>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</si>
  <si>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</si>
  <si>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</si>
  <si>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</si>
  <si>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</si>
  <si>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</si>
  <si>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</si>
  <si>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</si>
  <si>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</si>
  <si>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</si>
  <si>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</si>
  <si>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</si>
  <si>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</si>
  <si>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</si>
  <si>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</si>
  <si>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</si>
  <si>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</si>
  <si>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</si>
  <si>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</si>
  <si>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</si>
  <si>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</si>
  <si>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</si>
  <si>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</si>
  <si>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</si>
  <si>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</si>
  <si>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</si>
  <si>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</si>
  <si>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</si>
  <si>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</si>
  <si>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</si>
  <si>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</si>
  <si>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</si>
  <si>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</si>
  <si>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</si>
  <si>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</si>
  <si>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</si>
  <si>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</si>
  <si>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</si>
  <si>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</si>
  <si>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</si>
  <si>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</si>
  <si>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</si>
  <si>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</si>
  <si>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</si>
  <si>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</si>
  <si>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</si>
  <si>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</si>
  <si>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</si>
  <si>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</si>
  <si>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</si>
  <si>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</si>
  <si>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</si>
  <si>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</si>
  <si>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</si>
  <si>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</si>
  <si>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</si>
  <si>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</si>
  <si>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</si>
  <si>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</si>
  <si>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</si>
  <si>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</si>
  <si>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</si>
  <si>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</si>
  <si>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</si>
  <si>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</si>
  <si>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</si>
  <si>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</si>
  <si>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</si>
  <si>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</si>
  <si>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</si>
  <si>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</si>
  <si>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</si>
  <si>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</si>
  <si>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</si>
  <si>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</si>
  <si>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</si>
  <si>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</si>
  <si>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</si>
  <si>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</si>
  <si>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</si>
  <si>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</si>
  <si>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</si>
  <si>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</si>
  <si>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</si>
  <si>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</si>
  <si>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</si>
  <si>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</si>
  <si>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</si>
  <si>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</si>
  <si>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</si>
  <si>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</si>
  <si>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</si>
  <si>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</si>
  <si>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</si>
  <si>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</si>
  <si>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</si>
  <si>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</si>
  <si>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</si>
  <si>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</si>
  <si>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</si>
  <si>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</si>
  <si>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</si>
  <si>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</si>
  <si>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</si>
  <si>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</si>
  <si>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</si>
  <si>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</si>
  <si>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</si>
  <si>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</si>
  <si>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</si>
  <si>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</si>
  <si>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</si>
  <si>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</si>
  <si>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</si>
  <si>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</si>
  <si>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</si>
  <si>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</si>
  <si>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</si>
  <si>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</si>
  <si>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</si>
  <si>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</si>
  <si>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</si>
  <si>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</si>
  <si>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</si>
  <si>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</si>
  <si>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</si>
  <si>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</si>
  <si>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</si>
  <si>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</si>
  <si>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</si>
  <si>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</si>
  <si>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</si>
  <si>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</si>
  <si>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</si>
  <si>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</si>
  <si>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</si>
  <si>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</si>
  <si>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</si>
  <si>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</si>
  <si>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</si>
  <si>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</si>
  <si>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</si>
  <si>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</si>
  <si>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</si>
  <si>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</si>
  <si>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</si>
  <si>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</si>
  <si>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</si>
  <si>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</si>
  <si>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</si>
  <si>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</si>
  <si>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</si>
  <si>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</si>
  <si>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</si>
  <si>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</si>
  <si>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</si>
  <si>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</si>
  <si>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</si>
  <si>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</si>
  <si>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</si>
  <si>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</si>
  <si>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</si>
  <si>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</si>
  <si>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</si>
  <si>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</si>
  <si>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</si>
  <si>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</si>
  <si>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</si>
  <si>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</si>
  <si>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</si>
  <si>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</si>
  <si>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</si>
  <si>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</si>
  <si>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</si>
  <si>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</si>
  <si>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</si>
  <si>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</si>
  <si>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</si>
  <si>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</si>
  <si>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</si>
  <si>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</si>
  <si>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</si>
  <si>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</si>
  <si>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</si>
  <si>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</si>
  <si>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</si>
  <si>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</si>
  <si>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</si>
  <si>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</si>
  <si>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</si>
  <si>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</si>
  <si>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</si>
  <si>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</si>
  <si>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</si>
  <si>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</si>
  <si>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</si>
  <si>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</si>
  <si>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</si>
  <si>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</si>
  <si>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</si>
  <si>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</si>
  <si>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</si>
  <si>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</si>
  <si>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</si>
  <si>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</si>
  <si>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</si>
  <si>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</si>
  <si>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</si>
  <si>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</si>
  <si>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</si>
  <si>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</si>
  <si>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</si>
  <si>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</si>
  <si>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</si>
  <si>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</si>
  <si>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</si>
  <si>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</si>
  <si>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</si>
  <si>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</si>
  <si>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</si>
  <si>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</si>
  <si>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</si>
  <si>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</si>
  <si>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</si>
  <si>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</si>
  <si>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</si>
  <si>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</si>
  <si>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</si>
  <si>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</si>
  <si>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</si>
  <si>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</si>
  <si>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</si>
  <si>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</si>
  <si>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</si>
  <si>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</si>
  <si>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</si>
  <si>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</si>
  <si>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</si>
  <si>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</si>
  <si>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</si>
  <si>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</si>
  <si>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</si>
  <si>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</si>
  <si>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</si>
  <si>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</si>
  <si>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</si>
  <si>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</si>
  <si>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</si>
  <si>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</si>
  <si>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</si>
  <si>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</si>
  <si>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</si>
  <si>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</si>
  <si>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</si>
  <si>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</si>
  <si>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</si>
  <si>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</si>
  <si>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</si>
  <si>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</si>
  <si>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</si>
  <si>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</si>
  <si>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</si>
  <si>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</si>
  <si>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</si>
  <si>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</si>
  <si>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</si>
  <si>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</si>
  <si>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</si>
  <si>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</si>
  <si>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</si>
  <si>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</si>
  <si>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</si>
  <si>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</si>
  <si>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</si>
  <si>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</si>
  <si>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</si>
  <si>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</si>
  <si>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</si>
  <si>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</si>
  <si>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</si>
  <si>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</si>
  <si>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</si>
  <si>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</si>
  <si>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</si>
  <si>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</si>
  <si>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</si>
  <si>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</si>
  <si>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</si>
  <si>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</si>
  <si>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</si>
  <si>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</si>
  <si>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</si>
  <si>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</si>
  <si>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</si>
  <si>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</si>
  <si>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</si>
  <si>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</si>
  <si>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</si>
  <si>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</si>
  <si>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</si>
  <si>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</si>
  <si>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</si>
  <si>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</si>
  <si>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</si>
  <si>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</si>
  <si>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</si>
  <si>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</si>
  <si>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</si>
  <si>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</si>
  <si>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</si>
  <si>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</si>
  <si>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</si>
  <si>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</si>
  <si>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</si>
  <si>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</si>
  <si>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</si>
  <si>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</si>
  <si>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</si>
  <si>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</si>
  <si>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</si>
  <si>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</si>
  <si>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</si>
  <si>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</si>
  <si>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</si>
  <si>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</si>
  <si>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</si>
  <si>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</si>
  <si>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</si>
  <si>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</si>
  <si>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</si>
  <si>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</si>
  <si>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</si>
  <si>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</si>
  <si>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</si>
  <si>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</si>
  <si>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</si>
  <si>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</si>
  <si>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</si>
  <si>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</si>
  <si>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</si>
  <si>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</si>
  <si>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</si>
  <si>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</si>
  <si>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</si>
  <si>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</si>
  <si>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</si>
  <si>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</si>
  <si>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</si>
  <si>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</si>
  <si>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</si>
  <si>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</si>
  <si>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</si>
  <si>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</si>
  <si>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</si>
  <si>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</si>
  <si>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</si>
  <si>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</si>
  <si>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</si>
  <si>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</si>
  <si>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</si>
  <si>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</si>
  <si>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</si>
  <si>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</si>
  <si>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</si>
  <si>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</si>
  <si>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</si>
  <si>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</si>
  <si>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</si>
  <si>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</si>
  <si>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</si>
  <si>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</si>
  <si>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</si>
  <si>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</si>
  <si>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</si>
  <si>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</si>
  <si>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</si>
  <si>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</si>
  <si>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</si>
  <si>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</si>
  <si>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</si>
  <si>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</si>
  <si>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</si>
  <si>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</si>
  <si>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</si>
  <si>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</si>
  <si>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</si>
  <si>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</si>
  <si>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</si>
  <si>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</si>
  <si>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</si>
  <si>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</si>
  <si>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</si>
  <si>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</si>
  <si>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</si>
  <si>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</si>
  <si>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</si>
  <si>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</si>
  <si>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</si>
  <si>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</si>
  <si>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</si>
  <si>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</si>
  <si>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</si>
  <si>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</si>
  <si>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</si>
  <si>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</si>
  <si>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</si>
  <si>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</si>
  <si>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</si>
  <si>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</si>
  <si>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</si>
  <si>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</si>
  <si>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</si>
  <si>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</si>
  <si>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</si>
  <si>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</si>
  <si>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</si>
  <si>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</si>
  <si>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</si>
  <si>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</si>
  <si>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</si>
  <si>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</si>
  <si>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</si>
  <si>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</si>
  <si>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</si>
  <si>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</si>
  <si>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</si>
  <si>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</si>
  <si>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</si>
  <si>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</si>
  <si>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</si>
  <si>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</si>
  <si>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</si>
  <si>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</si>
  <si>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</si>
  <si>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</si>
  <si>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</si>
  <si>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</si>
  <si>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</si>
  <si>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</si>
  <si>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</si>
  <si>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</si>
  <si>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</si>
  <si>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</si>
  <si>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</si>
  <si>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</si>
  <si>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</si>
  <si>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</si>
  <si>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</si>
  <si>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</si>
  <si>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</si>
  <si>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</si>
  <si>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</si>
  <si>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</si>
  <si>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</si>
  <si>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</si>
  <si>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</si>
  <si>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</si>
  <si>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</si>
  <si>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</si>
  <si>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</si>
  <si>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</si>
  <si>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</si>
  <si>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</si>
  <si>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</si>
  <si>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</si>
  <si>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</si>
  <si>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</si>
  <si>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</si>
  <si>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</si>
  <si>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</si>
  <si>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</si>
  <si>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</si>
  <si>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</si>
  <si>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</si>
  <si>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</si>
  <si>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</si>
  <si>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</si>
  <si>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</si>
  <si>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</si>
  <si>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</si>
  <si>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</si>
  <si>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</si>
  <si>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</si>
  <si>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</si>
  <si>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</si>
  <si>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</si>
  <si>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</si>
  <si>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</si>
  <si>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</si>
  <si>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</si>
  <si>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</si>
  <si>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</si>
  <si>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</si>
  <si>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</si>
  <si>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</si>
  <si>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</si>
  <si>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</si>
  <si>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</si>
  <si>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</si>
  <si>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</si>
  <si>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</si>
  <si>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</si>
  <si>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</si>
  <si>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</si>
  <si>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</si>
  <si>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</si>
  <si>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</si>
  <si>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</si>
  <si>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</si>
  <si>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</si>
  <si>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</si>
  <si>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</si>
  <si>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</si>
  <si>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</si>
  <si>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</si>
  <si>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</si>
  <si>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</si>
  <si>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</si>
  <si>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</si>
  <si>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</si>
  <si>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</si>
  <si>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</si>
  <si>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</si>
  <si>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</si>
  <si>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</si>
  <si>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</si>
  <si>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</si>
  <si>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</si>
  <si>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</si>
  <si>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</si>
  <si>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</si>
  <si>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</si>
  <si>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</si>
  <si>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</si>
  <si>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</si>
  <si>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</si>
  <si>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</si>
  <si>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</si>
  <si>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</si>
  <si>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</si>
  <si>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</si>
  <si>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</si>
  <si>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</si>
  <si>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</si>
  <si>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</si>
  <si>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</si>
  <si>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</si>
  <si>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</si>
  <si>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</si>
  <si>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</si>
  <si>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</si>
  <si>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</si>
  <si>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</si>
  <si>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</si>
  <si>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</si>
  <si>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</si>
  <si>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</si>
  <si>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</si>
  <si>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</si>
  <si>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</si>
  <si>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</si>
  <si>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</si>
  <si>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</si>
  <si>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</si>
  <si>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</si>
  <si>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</si>
  <si>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</si>
  <si>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</si>
  <si>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</si>
  <si>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</si>
  <si>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</si>
  <si>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</si>
  <si>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</si>
  <si>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</si>
  <si>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</si>
  <si>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</si>
  <si>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</si>
  <si>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</si>
  <si>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</si>
  <si>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</si>
  <si>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</si>
  <si>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</si>
  <si>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</si>
  <si>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</si>
  <si>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</si>
  <si>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</si>
  <si>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</si>
  <si>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</si>
  <si>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</si>
  <si>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</si>
  <si>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</si>
  <si>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</si>
  <si>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</si>
  <si>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</si>
  <si>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</si>
  <si>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</si>
  <si>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</si>
  <si>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</si>
  <si>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</si>
  <si>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</si>
  <si>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</si>
  <si>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</si>
  <si>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</si>
  <si>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</si>
  <si>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</si>
  <si>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</si>
  <si>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</si>
  <si>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</si>
  <si>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</si>
  <si>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</si>
  <si>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</si>
  <si>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</si>
  <si>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</si>
  <si>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</si>
  <si>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</si>
  <si>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</si>
  <si>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</si>
  <si>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</si>
  <si>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</si>
  <si>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</si>
  <si>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</si>
  <si>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</si>
  <si>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</si>
  <si>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</si>
  <si>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</si>
  <si>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</si>
  <si>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</si>
  <si>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</si>
  <si>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</si>
  <si>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</si>
  <si>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</si>
  <si>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</si>
  <si>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</si>
  <si>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</si>
  <si>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</si>
  <si>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</si>
  <si>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</si>
  <si>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</si>
  <si>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</si>
  <si>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</si>
  <si>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</si>
  <si>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</si>
  <si>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</si>
  <si>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</si>
  <si>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</si>
  <si>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</si>
  <si>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</si>
  <si>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</si>
  <si>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</si>
  <si>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</si>
  <si>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</si>
  <si>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</si>
  <si>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</si>
  <si>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</si>
  <si>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</si>
  <si>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</si>
  <si>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</si>
  <si>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</si>
  <si>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</si>
  <si>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</si>
  <si>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</si>
  <si>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</si>
  <si>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</si>
  <si>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</si>
  <si>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</si>
  <si>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</si>
  <si>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</si>
  <si>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</si>
  <si>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</si>
  <si>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</si>
  <si>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</si>
  <si>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</si>
  <si>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</si>
  <si>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</si>
  <si>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</si>
  <si>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</si>
  <si>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</si>
  <si>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</si>
  <si>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</si>
  <si>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</si>
  <si>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</si>
  <si>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</si>
  <si>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</si>
  <si>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</si>
  <si>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</si>
  <si>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</si>
  <si>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</si>
  <si>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</si>
  <si>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</si>
  <si>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</si>
  <si>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</si>
  <si>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</si>
  <si>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</si>
  <si>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</si>
  <si>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</si>
  <si>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</si>
  <si>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</si>
  <si>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</si>
  <si>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</si>
  <si>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</si>
  <si>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</si>
  <si>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</si>
  <si>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</si>
  <si>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</si>
  <si>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</si>
  <si>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</si>
  <si>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</si>
  <si>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</si>
  <si>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</si>
  <si>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</si>
  <si>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</si>
  <si>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</si>
  <si>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</si>
  <si>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</si>
  <si>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</si>
  <si>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</si>
  <si>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</si>
  <si>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</si>
  <si>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</si>
  <si>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</si>
  <si>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</si>
  <si>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</si>
  <si>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</si>
  <si>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</si>
  <si>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</si>
  <si>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</si>
  <si>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</si>
  <si>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</si>
  <si>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</si>
  <si>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</si>
  <si>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</si>
  <si>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</si>
  <si>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</si>
  <si>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</si>
  <si>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</si>
  <si>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</si>
  <si>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</si>
  <si>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</si>
  <si>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</si>
  <si>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</si>
  <si>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</si>
  <si>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</si>
  <si>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</si>
  <si>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</si>
  <si>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</si>
  <si>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</si>
  <si>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</si>
  <si>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</si>
  <si>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</si>
  <si>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</si>
  <si>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</si>
  <si>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</si>
  <si>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</si>
  <si>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</si>
  <si>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</si>
  <si>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</si>
  <si>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</si>
  <si>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</si>
  <si>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</si>
  <si>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</si>
  <si>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</si>
  <si>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</si>
  <si>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</si>
  <si>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</si>
  <si>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</si>
  <si>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</si>
  <si>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</si>
  <si>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</si>
  <si>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</si>
  <si>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</si>
  <si>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</si>
  <si>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</si>
  <si>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</si>
  <si>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</si>
  <si>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</si>
  <si>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</si>
  <si>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</si>
  <si>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</si>
  <si>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</si>
  <si>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</si>
  <si>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</si>
  <si>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</si>
  <si>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</si>
  <si>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</si>
  <si>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</si>
  <si>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</si>
  <si>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</si>
  <si>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</si>
  <si>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</si>
  <si>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</si>
  <si>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</si>
  <si>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</si>
  <si>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</si>
  <si>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</si>
  <si>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</si>
  <si>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</si>
  <si>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</si>
  <si>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</si>
  <si>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</si>
  <si>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</si>
  <si>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</si>
  <si>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</si>
  <si>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</si>
  <si>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</si>
  <si>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</si>
  <si>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</si>
  <si>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</si>
  <si>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</si>
  <si>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</si>
  <si>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</si>
  <si>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</si>
  <si>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</si>
  <si>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</si>
  <si>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</si>
  <si>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</si>
  <si>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</si>
  <si>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</si>
  <si>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</si>
  <si>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</si>
  <si>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</si>
  <si>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</si>
  <si>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</si>
  <si>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</si>
  <si>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</si>
  <si>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</si>
  <si>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</si>
  <si>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</si>
  <si>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</si>
  <si>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</si>
  <si>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</si>
  <si>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</si>
  <si>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</si>
  <si>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</si>
  <si>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</si>
  <si>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</si>
  <si>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</si>
  <si>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</si>
  <si>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</si>
  <si>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</si>
  <si>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</si>
  <si>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</si>
  <si>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</si>
  <si>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</si>
  <si>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</si>
  <si>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</si>
  <si>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</si>
  <si>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</si>
  <si>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</si>
  <si>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</si>
  <si>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</si>
  <si>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</si>
  <si>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</si>
  <si>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</si>
  <si>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</si>
  <si>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</si>
  <si>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</si>
  <si>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</si>
  <si>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</si>
  <si>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</si>
  <si>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</si>
  <si>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</si>
  <si>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</si>
  <si>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</si>
  <si>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</si>
  <si>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</si>
  <si>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</si>
  <si>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</si>
  <si>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</si>
  <si>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</si>
  <si>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</si>
  <si>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</si>
  <si>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</si>
  <si>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</si>
  <si>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</si>
  <si>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</si>
  <si>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</si>
  <si>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</si>
  <si>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</si>
  <si>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</si>
  <si>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</si>
  <si>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</si>
  <si>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</si>
  <si>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</si>
  <si>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</si>
  <si>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</si>
  <si>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</si>
  <si>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</si>
  <si>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</si>
  <si>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</si>
  <si>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</si>
  <si>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</si>
  <si>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</si>
  <si>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</si>
  <si>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</si>
  <si>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</si>
  <si>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</si>
  <si>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</si>
  <si>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</si>
  <si>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</si>
  <si>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</si>
  <si>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</si>
  <si>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</si>
  <si>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</si>
  <si>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</si>
  <si>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</si>
  <si>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</si>
  <si>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</si>
  <si>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</si>
  <si>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</si>
  <si>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</si>
  <si>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</si>
  <si>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</si>
  <si>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</si>
  <si>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</si>
  <si>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</si>
  <si>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</si>
  <si>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</si>
  <si>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</si>
  <si>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</si>
  <si>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</si>
  <si>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</si>
  <si>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</si>
  <si>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</si>
  <si>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</si>
  <si>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</si>
  <si>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</si>
  <si>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</si>
  <si>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</si>
  <si>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</si>
  <si>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</si>
  <si>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</si>
  <si>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</si>
  <si>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</si>
  <si>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</si>
  <si>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</si>
  <si>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</si>
  <si>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</si>
  <si>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</si>
  <si>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</si>
  <si>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</si>
  <si>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</si>
  <si>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</si>
  <si>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</si>
  <si>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</si>
  <si>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</si>
  <si>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</si>
  <si>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</si>
  <si>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</si>
  <si>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</si>
  <si>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</si>
  <si>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</si>
  <si>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</si>
  <si>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</si>
  <si>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</si>
  <si>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</si>
  <si>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</si>
  <si>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</si>
  <si>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</si>
  <si>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</si>
  <si>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</si>
  <si>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</si>
  <si>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</si>
  <si>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</si>
  <si>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</si>
  <si>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</si>
  <si>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</si>
  <si>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</si>
  <si>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</si>
  <si>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</si>
  <si>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</si>
  <si>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</si>
  <si>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</si>
  <si>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</si>
  <si>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</si>
  <si>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</si>
  <si>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</si>
  <si>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</si>
  <si>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</si>
  <si>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</si>
  <si>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</si>
  <si>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</si>
  <si>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</si>
  <si>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</si>
  <si>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</si>
  <si>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</si>
  <si>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</si>
  <si>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</si>
  <si>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</si>
  <si>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</si>
  <si>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</si>
  <si>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</si>
  <si>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</si>
  <si>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</si>
  <si>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</si>
  <si>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</si>
  <si>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</si>
  <si>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</si>
  <si>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</si>
  <si>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</si>
  <si>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</si>
  <si>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</si>
  <si>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</si>
  <si>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</si>
  <si>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</si>
  <si>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</si>
  <si>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</si>
  <si>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</si>
  <si>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</si>
  <si>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</si>
  <si>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</si>
  <si>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</si>
  <si>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</si>
  <si>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</si>
  <si>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</si>
  <si>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</si>
  <si>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</si>
  <si>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</si>
  <si>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</si>
  <si>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</si>
  <si>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</si>
  <si>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</si>
  <si>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</si>
  <si>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</si>
  <si>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</si>
  <si>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</si>
  <si>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</si>
  <si>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</si>
  <si>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</si>
  <si>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</si>
  <si>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</si>
  <si>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</si>
  <si>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</si>
  <si>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</si>
  <si>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</si>
  <si>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</si>
  <si>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</si>
  <si>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</si>
  <si>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</si>
  <si>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</si>
  <si>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</si>
  <si>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</si>
  <si>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</si>
  <si>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</si>
  <si>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</si>
  <si>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</si>
  <si>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</si>
  <si>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</si>
  <si>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</si>
  <si>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</si>
  <si>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</si>
  <si>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</si>
  <si>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</si>
  <si>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</si>
  <si>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</si>
  <si>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</si>
  <si>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</si>
  <si>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</si>
  <si>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</si>
  <si>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</si>
  <si>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</si>
  <si>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</si>
  <si>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</si>
  <si>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</si>
  <si>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</si>
  <si>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</si>
  <si>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</si>
  <si>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</si>
  <si>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</si>
  <si>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</si>
  <si>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</si>
  <si>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</si>
  <si>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</si>
  <si>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</si>
  <si>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</si>
  <si>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</si>
  <si>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</si>
  <si>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</si>
  <si>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</si>
  <si>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</si>
  <si>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</si>
  <si>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</si>
  <si>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</si>
  <si>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</si>
  <si>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</si>
  <si>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</si>
  <si>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</si>
  <si>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</si>
  <si>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</si>
  <si>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</si>
  <si>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</si>
  <si>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</si>
  <si>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</si>
  <si>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</si>
  <si>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</si>
  <si>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</si>
  <si>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</si>
  <si>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</si>
  <si>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</si>
  <si>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</si>
  <si>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</si>
  <si>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</si>
  <si>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</si>
  <si>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</si>
  <si>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</si>
  <si>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</si>
  <si>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</si>
  <si>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</si>
  <si>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</si>
  <si>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</si>
  <si>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</si>
  <si>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</si>
  <si>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</si>
  <si>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</si>
  <si>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</si>
  <si>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</si>
  <si>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</si>
  <si>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</si>
  <si>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</si>
  <si>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</si>
  <si>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</si>
  <si>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</si>
  <si>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</si>
  <si>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</si>
  <si>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</si>
  <si>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</si>
  <si>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</si>
  <si>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</si>
  <si>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</si>
  <si>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</si>
  <si>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</si>
  <si>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</si>
  <si>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</si>
  <si>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</si>
  <si>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</si>
  <si>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</si>
  <si>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</si>
  <si>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</si>
  <si>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</si>
  <si>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</si>
  <si>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</si>
  <si>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</si>
  <si>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</si>
  <si>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</si>
  <si>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</si>
  <si>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</si>
  <si>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</si>
  <si>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</si>
  <si>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</si>
  <si>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</si>
  <si>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</si>
  <si>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</si>
  <si>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</si>
  <si>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</si>
  <si>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</si>
  <si>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</si>
  <si>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</si>
  <si>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</si>
  <si>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</si>
  <si>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</si>
  <si>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</si>
  <si>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</si>
  <si>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</si>
  <si>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</si>
  <si>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</si>
  <si>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</si>
  <si>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</si>
  <si>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</si>
  <si>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</si>
  <si>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</si>
  <si>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</si>
  <si>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</si>
  <si>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</si>
  <si>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</si>
  <si>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</si>
  <si>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</si>
  <si>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</si>
  <si>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</si>
  <si>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</si>
  <si>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</si>
  <si>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</si>
  <si>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</si>
  <si>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</si>
  <si>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</si>
  <si>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</si>
  <si>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</si>
  <si>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</si>
  <si>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</si>
  <si>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</si>
  <si>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</si>
  <si>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</si>
  <si>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</si>
  <si>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</si>
  <si>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</si>
  <si>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</si>
  <si>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</si>
  <si>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</si>
  <si>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</si>
  <si>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</si>
  <si>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</si>
  <si>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</si>
  <si>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</si>
  <si>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</si>
  <si>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</si>
  <si>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</si>
  <si>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</si>
  <si>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</si>
  <si>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</si>
  <si>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</si>
  <si>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</si>
  <si>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</si>
  <si>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</si>
  <si>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</si>
  <si>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</si>
  <si>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</si>
  <si>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</si>
  <si>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</si>
  <si>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</si>
  <si>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</si>
  <si>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</si>
  <si>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</si>
  <si>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</si>
  <si>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</si>
  <si>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</si>
  <si>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</si>
  <si>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</si>
  <si>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</si>
  <si>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</si>
  <si>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</si>
  <si>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</si>
  <si>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</si>
  <si>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</si>
  <si>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</si>
  <si>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</si>
  <si>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</si>
  <si>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</si>
  <si>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</si>
  <si>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</si>
  <si>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</si>
  <si>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</si>
  <si>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</si>
  <si>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</si>
  <si>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</si>
  <si>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</si>
  <si>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</si>
  <si>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</si>
  <si>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</si>
  <si>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</si>
  <si>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</si>
  <si>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</si>
  <si>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</si>
  <si>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</si>
  <si>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</si>
  <si>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</si>
  <si>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</si>
  <si>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</si>
  <si>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</si>
  <si>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</si>
  <si>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</si>
  <si>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</si>
  <si>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</si>
  <si>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</si>
  <si>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</si>
  <si>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</si>
  <si>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</si>
  <si>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</si>
  <si>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</si>
  <si>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</si>
  <si>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</si>
  <si>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</si>
  <si>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</si>
  <si>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</si>
  <si>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</si>
  <si>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</si>
  <si>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</si>
  <si>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</si>
  <si>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</si>
  <si>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</si>
  <si>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</si>
  <si>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</si>
  <si>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</si>
  <si>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</si>
  <si>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</si>
  <si>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</si>
  <si>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</si>
  <si>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</si>
  <si>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</si>
  <si>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</si>
  <si>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</si>
  <si>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</si>
  <si>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</si>
  <si>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</si>
  <si>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</si>
  <si>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</si>
  <si>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</si>
  <si>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</si>
  <si>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</si>
  <si>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</si>
  <si>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</si>
  <si>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</si>
  <si>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</si>
  <si>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</si>
  <si>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</si>
  <si>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</si>
  <si>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</si>
  <si>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</si>
  <si>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</si>
  <si>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</si>
  <si>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</si>
  <si>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</si>
  <si>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</si>
  <si>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</si>
  <si>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</si>
  <si>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</si>
  <si>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</si>
  <si>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</si>
  <si>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</si>
  <si>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</si>
  <si>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</si>
  <si>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</si>
  <si>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</si>
  <si>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</si>
  <si>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</si>
  <si>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</si>
  <si>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</si>
  <si>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</si>
  <si>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</si>
  <si>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</si>
  <si>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</si>
  <si>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</si>
  <si>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</si>
  <si>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</si>
  <si>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</si>
  <si>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</si>
  <si>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</si>
  <si>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</si>
  <si>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</si>
  <si>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</si>
  <si>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</si>
  <si>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</si>
  <si>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</si>
  <si>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</si>
  <si>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</si>
  <si>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</si>
  <si>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</si>
  <si>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</si>
  <si>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</si>
  <si>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</si>
  <si>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</si>
  <si>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</si>
  <si>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</si>
  <si>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</si>
  <si>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</si>
  <si>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</si>
  <si>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</si>
  <si>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</si>
  <si>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</si>
  <si>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</si>
  <si>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</si>
  <si>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</si>
  <si>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</si>
  <si>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</si>
  <si>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</si>
  <si>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</si>
  <si>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</si>
  <si>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</si>
  <si>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</si>
  <si>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</si>
  <si>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</si>
  <si>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</si>
  <si>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</si>
  <si>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</si>
  <si>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</si>
  <si>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</si>
  <si>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</si>
  <si>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</si>
  <si>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</si>
  <si>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</si>
  <si>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</si>
  <si>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</si>
  <si>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</si>
  <si>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</si>
  <si>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</si>
  <si>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</si>
  <si>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</si>
  <si>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</si>
  <si>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</si>
  <si>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</si>
  <si>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</si>
  <si>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</si>
  <si>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</si>
  <si>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</si>
  <si>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</si>
  <si>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</si>
  <si>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</si>
  <si>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</si>
  <si>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</si>
  <si>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</si>
  <si>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</si>
  <si>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</si>
  <si>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</si>
  <si>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</si>
  <si>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</si>
  <si>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</si>
  <si>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</si>
  <si>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</si>
  <si>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</si>
  <si>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</si>
  <si>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</si>
  <si>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</si>
  <si>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</si>
  <si>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</si>
  <si>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</si>
  <si>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</si>
  <si>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</si>
  <si>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</si>
  <si>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</si>
  <si>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</si>
  <si>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</si>
  <si>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</si>
  <si>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</si>
  <si>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</si>
  <si>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</si>
  <si>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</si>
  <si>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</si>
  <si>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</si>
  <si>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</si>
  <si>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</si>
  <si>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</si>
  <si>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</si>
  <si>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</si>
  <si>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</si>
  <si>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~3.9</t>
  </si>
  <si>
    <t>ppa</t>
  </si>
  <si>
    <t>148k</t>
  </si>
  <si>
    <t>alloc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</si>
  <si>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</si>
  <si>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</si>
  <si>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</si>
  <si>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</si>
  <si>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</si>
  <si>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</si>
  <si>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</si>
  <si>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</si>
  <si>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</si>
  <si>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</si>
  <si>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</si>
  <si>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</si>
  <si>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</si>
  <si>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</si>
  <si>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</si>
  <si>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</si>
  <si>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</si>
  <si>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</si>
  <si>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</si>
  <si>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</si>
  <si>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</si>
  <si>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</si>
  <si>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</si>
  <si>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</si>
  <si>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</si>
  <si>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</si>
  <si>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</si>
  <si>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</si>
  <si>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</si>
  <si>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</si>
  <si>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</si>
  <si>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</si>
  <si>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</si>
  <si>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</si>
  <si>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</si>
  <si>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</si>
  <si>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</si>
  <si>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</si>
  <si>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</si>
  <si>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</si>
  <si>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</si>
  <si>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</si>
  <si>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</si>
  <si>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</si>
  <si>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</si>
  <si>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</si>
  <si>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</si>
  <si>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</si>
  <si>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</si>
  <si>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</si>
  <si>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</si>
  <si>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</si>
  <si>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</si>
  <si>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50k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</si>
  <si>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</si>
  <si>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</si>
  <si>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</si>
  <si>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</si>
  <si>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</si>
  <si>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</si>
  <si>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</si>
  <si>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</si>
  <si>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</si>
  <si>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</si>
  <si>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</si>
  <si>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</si>
  <si>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</si>
  <si>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</si>
  <si>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</si>
  <si>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</si>
  <si>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</si>
  <si>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</si>
  <si>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</si>
  <si>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can renew 50k</t>
  </si>
  <si>
    <t>tBill</t>
  </si>
  <si>
    <t xml:space="preserve">scsc  </t>
  </si>
  <si>
    <t xml:space="preserve">FnF  </t>
  </si>
  <si>
    <t>A95 batt #mcsa</t>
  </si>
  <si>
    <t>Z399 laptop #mcsa</t>
  </si>
  <si>
    <t>153.26+10.9!show</t>
  </si>
  <si>
    <t>Ichiban #30/6 scsc</t>
  </si>
  <si>
    <t>FnF{108</t>
  </si>
  <si>
    <t>e$ int #29/6</t>
  </si>
  <si>
    <t>bonusShare 6/8k so far</t>
  </si>
  <si>
    <t>bonusShare x/8k so far</t>
  </si>
  <si>
    <t>est</t>
  </si>
  <si>
    <t>{2k</t>
  </si>
  <si>
    <t>{30</t>
  </si>
  <si>
    <t>cigna #TB 16/1</t>
  </si>
  <si>
    <t>cigna #ZLH 16/1</t>
  </si>
  <si>
    <t>PMMF final PnL</t>
  </si>
  <si>
    <t>FSCF final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</si>
</sst>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8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3376</v>
      </c>
      <c r="C2" s="16"/>
      <c r="D2" s="15" t="s">
        <v>3377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3378</v>
      </c>
      <c r="I4" s="21" t="s">
        <v>3379</v>
      </c>
      <c r="J4" s="21" t="s">
        <v>3380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3381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3382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3383</v>
      </c>
      <c r="I29" s="14" t="s">
        <v>3384</v>
      </c>
      <c r="J29" s="14" t="s">
        <v>3385</v>
      </c>
      <c r="K29" s="14" t="s">
        <v>3386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3387</v>
      </c>
      <c r="I32" s="14" t="s">
        <v>3387</v>
      </c>
      <c r="J32" s="14" t="s">
        <v>3387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3388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83">
        <f>SUMPRODUCT(D3:D33,E3:E33)/365</f>
        <v>34.006575342465737</v>
      </c>
      <c r="E35" s="683"/>
      <c r="F35" s="26"/>
    </row>
    <row r="36" spans="2:11">
      <c r="B36" s="16" t="s">
        <v>3389</v>
      </c>
      <c r="D36" s="683" t="s">
        <v>3390</v>
      </c>
      <c r="E36" s="683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3391</v>
      </c>
      <c r="C2" s="3" t="s">
        <v>1554</v>
      </c>
      <c r="D2" s="2" t="s">
        <v>3392</v>
      </c>
      <c r="E2" s="4" t="s">
        <v>3393</v>
      </c>
      <c r="F2" s="4" t="s">
        <v>3394</v>
      </c>
      <c r="G2" s="4" t="s">
        <v>3395</v>
      </c>
      <c r="H2" s="3" t="s">
        <v>513</v>
      </c>
      <c r="I2" s="13" t="s">
        <v>3396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3397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3397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3397</v>
      </c>
      <c r="G6" s="5">
        <f>SUM(B6:E6)</f>
        <v>112225.48</v>
      </c>
      <c r="H6" s="7">
        <v>44195</v>
      </c>
      <c r="I6" s="9" t="s">
        <v>3398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3397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3399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3397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3397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3397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3397</v>
      </c>
      <c r="G12" s="5">
        <f t="shared" si="1"/>
        <v>109175.48</v>
      </c>
      <c r="H12" s="7">
        <v>44701</v>
      </c>
      <c r="I12" s="9" t="s">
        <v>3400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3397</v>
      </c>
      <c r="G13" s="5">
        <f t="shared" si="1"/>
        <v>110985.48</v>
      </c>
      <c r="H13" s="7">
        <v>44727</v>
      </c>
      <c r="I13" s="9" t="s">
        <v>3401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3397</v>
      </c>
      <c r="G14" s="5">
        <f t="shared" si="1"/>
        <v>106859.48</v>
      </c>
      <c r="H14" s="7">
        <v>44788</v>
      </c>
      <c r="I14" s="9" t="s">
        <v>3402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3397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3397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3397</v>
      </c>
      <c r="G17" s="5">
        <f t="shared" si="2"/>
        <v>99359.48</v>
      </c>
      <c r="H17" s="7">
        <v>44910</v>
      </c>
      <c r="I17" s="9" t="s">
        <v>3402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3397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3397</v>
      </c>
      <c r="G19" s="5">
        <f t="shared" si="2"/>
        <v>101108.48</v>
      </c>
      <c r="H19" s="7">
        <v>45092</v>
      </c>
      <c r="I19" s="9" t="s">
        <v>3403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3397</v>
      </c>
      <c r="G20" s="5">
        <f t="shared" si="2"/>
        <v>105108.48</v>
      </c>
      <c r="H20" s="7">
        <v>45127</v>
      </c>
      <c r="I20" s="9" t="s">
        <v>3404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3397</v>
      </c>
      <c r="G21" s="5">
        <f t="shared" ref="G21:G22" si="3">SUM(B21:E21)</f>
        <v>107108.48</v>
      </c>
      <c r="H21" s="7">
        <v>45168</v>
      </c>
      <c r="I21" s="9" t="s">
        <v>3405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3397</v>
      </c>
      <c r="G22" s="5">
        <f t="shared" si="3"/>
        <v>105108.48</v>
      </c>
      <c r="H22" s="7">
        <v>45285</v>
      </c>
      <c r="I22" s="9" t="s">
        <v>3406</v>
      </c>
    </row>
    <row r="23" spans="2:9">
      <c r="B23" s="5"/>
      <c r="C23" s="9" t="s">
        <v>3407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1239</v>
      </c>
      <c r="D24" s="5">
        <v>87000</v>
      </c>
      <c r="E24" s="5">
        <v>10000</v>
      </c>
      <c r="F24" s="10" t="s">
        <v>3397</v>
      </c>
      <c r="G24" s="5">
        <f t="shared" ref="G24" si="4">SUM(B24:E24)</f>
        <v>110108.48</v>
      </c>
      <c r="H24" s="7">
        <v>45350</v>
      </c>
      <c r="I24" s="9" t="s">
        <v>3408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3409</v>
      </c>
    </row>
    <row r="3" spans="1:2">
      <c r="A3">
        <v>2</v>
      </c>
      <c r="B3" t="s">
        <v>3410</v>
      </c>
    </row>
    <row r="4" spans="1:2">
      <c r="A4">
        <v>3</v>
      </c>
      <c r="B4" t="s">
        <v>3411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643" t="s">
        <v>91</v>
      </c>
      <c r="C1" s="643"/>
      <c r="D1" s="644" t="s">
        <v>92</v>
      </c>
      <c r="E1" s="643"/>
      <c r="F1" s="644" t="s">
        <v>93</v>
      </c>
      <c r="G1" s="643"/>
      <c r="H1" s="642" t="s">
        <v>94</v>
      </c>
      <c r="I1" s="642"/>
      <c r="J1" s="636" t="s">
        <v>92</v>
      </c>
      <c r="K1" s="637"/>
      <c r="L1" s="640" t="s">
        <v>95</v>
      </c>
      <c r="M1" s="641"/>
      <c r="N1" s="642" t="s">
        <v>96</v>
      </c>
      <c r="O1" s="642"/>
      <c r="P1" s="636" t="s">
        <v>97</v>
      </c>
      <c r="Q1" s="637"/>
      <c r="R1" s="640" t="s">
        <v>98</v>
      </c>
      <c r="S1" s="641"/>
      <c r="T1" s="626" t="s">
        <v>99</v>
      </c>
      <c r="U1" s="626"/>
      <c r="V1" s="636" t="s">
        <v>92</v>
      </c>
      <c r="W1" s="637"/>
      <c r="X1" s="632" t="s">
        <v>100</v>
      </c>
      <c r="Y1" s="633"/>
      <c r="Z1" s="626" t="s">
        <v>101</v>
      </c>
      <c r="AA1" s="626"/>
      <c r="AB1" s="630" t="s">
        <v>92</v>
      </c>
      <c r="AC1" s="631"/>
      <c r="AD1" s="638" t="s">
        <v>100</v>
      </c>
      <c r="AE1" s="639"/>
      <c r="AF1" s="626" t="s">
        <v>102</v>
      </c>
      <c r="AG1" s="626"/>
      <c r="AH1" s="630" t="s">
        <v>92</v>
      </c>
      <c r="AI1" s="631"/>
      <c r="AJ1" s="632" t="s">
        <v>103</v>
      </c>
      <c r="AK1" s="633"/>
      <c r="AL1" s="626" t="s">
        <v>104</v>
      </c>
      <c r="AM1" s="626"/>
      <c r="AN1" s="634" t="s">
        <v>92</v>
      </c>
      <c r="AO1" s="635"/>
      <c r="AP1" s="624" t="s">
        <v>105</v>
      </c>
      <c r="AQ1" s="625"/>
      <c r="AR1" s="626" t="s">
        <v>106</v>
      </c>
      <c r="AS1" s="626"/>
      <c r="AV1" s="624" t="s">
        <v>107</v>
      </c>
      <c r="AW1" s="625"/>
      <c r="AX1" s="627" t="s">
        <v>108</v>
      </c>
      <c r="AY1" s="627"/>
      <c r="AZ1" s="627"/>
      <c r="BA1" s="356"/>
      <c r="BB1" s="628">
        <v>42942</v>
      </c>
      <c r="BC1" s="629"/>
      <c r="BD1" s="62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623" t="s">
        <v>124</v>
      </c>
      <c r="U4" s="623"/>
      <c r="X4" s="437" t="s">
        <v>123</v>
      </c>
      <c r="Y4" s="463">
        <f>Y3-Y6</f>
        <v>4.9669099999591708</v>
      </c>
      <c r="Z4" s="623" t="s">
        <v>125</v>
      </c>
      <c r="AA4" s="623"/>
      <c r="AD4" s="406" t="s">
        <v>123</v>
      </c>
      <c r="AE4" s="406">
        <f>AE3-AE5</f>
        <v>-52.526899999851594</v>
      </c>
      <c r="AF4" s="623" t="s">
        <v>125</v>
      </c>
      <c r="AG4" s="623"/>
      <c r="AH4" s="73"/>
      <c r="AI4" s="73"/>
      <c r="AJ4" s="406" t="s">
        <v>123</v>
      </c>
      <c r="AK4" s="406">
        <f>AK3-AK5</f>
        <v>94.988909999992757</v>
      </c>
      <c r="AL4" s="623" t="s">
        <v>125</v>
      </c>
      <c r="AM4" s="623"/>
      <c r="AP4" s="59" t="s">
        <v>123</v>
      </c>
      <c r="AQ4" s="58">
        <f>AQ3-AQ5</f>
        <v>33.841989999942598</v>
      </c>
      <c r="AR4" s="623" t="s">
        <v>125</v>
      </c>
      <c r="AS4" s="623"/>
      <c r="AX4" s="623" t="s">
        <v>126</v>
      </c>
      <c r="AY4" s="623"/>
      <c r="BB4" s="623" t="s">
        <v>127</v>
      </c>
      <c r="BC4" s="62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623"/>
      <c r="U5" s="623"/>
      <c r="V5" s="350" t="s">
        <v>132</v>
      </c>
      <c r="W5">
        <v>2050</v>
      </c>
      <c r="X5" s="411"/>
      <c r="Z5" s="623"/>
      <c r="AA5" s="623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623"/>
      <c r="AG5" s="623"/>
      <c r="AH5" s="73"/>
      <c r="AI5" s="73"/>
      <c r="AJ5" s="406" t="s">
        <v>134</v>
      </c>
      <c r="AK5" s="464">
        <f>SUM(AK11:AK59)</f>
        <v>30858.011000000002</v>
      </c>
      <c r="AL5" s="623"/>
      <c r="AM5" s="623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623"/>
      <c r="AS5" s="623"/>
      <c r="AX5" s="623"/>
      <c r="AY5" s="623"/>
      <c r="BB5" s="623"/>
      <c r="BC5" s="623"/>
      <c r="BD5" s="618" t="s">
        <v>136</v>
      </c>
      <c r="BE5" s="618"/>
      <c r="BF5" s="618"/>
      <c r="BG5" s="618"/>
      <c r="BH5" s="618"/>
      <c r="BI5" s="618"/>
      <c r="BJ5" s="618"/>
      <c r="BK5" s="618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619" t="s">
        <v>335</v>
      </c>
      <c r="W23" s="620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621"/>
      <c r="W24" s="622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45" t="s">
        <v>524</v>
      </c>
      <c r="F38" s="646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3" t="s">
        <v>567</v>
      </c>
      <c r="C1" s="643"/>
      <c r="D1" s="638" t="s">
        <v>568</v>
      </c>
      <c r="E1" s="639"/>
      <c r="F1" s="643" t="s">
        <v>569</v>
      </c>
      <c r="G1" s="643"/>
      <c r="H1" s="652" t="s">
        <v>570</v>
      </c>
      <c r="I1" s="653"/>
      <c r="J1" s="638" t="s">
        <v>568</v>
      </c>
      <c r="K1" s="639"/>
      <c r="L1" s="643" t="s">
        <v>571</v>
      </c>
      <c r="M1" s="643"/>
      <c r="N1" s="652" t="s">
        <v>570</v>
      </c>
      <c r="O1" s="653"/>
      <c r="P1" s="638" t="s">
        <v>568</v>
      </c>
      <c r="Q1" s="639"/>
      <c r="R1" s="643" t="s">
        <v>572</v>
      </c>
      <c r="S1" s="643"/>
      <c r="T1" s="652" t="s">
        <v>570</v>
      </c>
      <c r="U1" s="653"/>
      <c r="V1" s="638" t="s">
        <v>568</v>
      </c>
      <c r="W1" s="639"/>
      <c r="X1" s="643" t="s">
        <v>573</v>
      </c>
      <c r="Y1" s="643"/>
      <c r="Z1" s="652" t="s">
        <v>570</v>
      </c>
      <c r="AA1" s="653"/>
      <c r="AB1" s="638" t="s">
        <v>568</v>
      </c>
      <c r="AC1" s="639"/>
      <c r="AD1" s="643" t="s">
        <v>574</v>
      </c>
      <c r="AE1" s="643"/>
      <c r="AF1" s="652" t="s">
        <v>570</v>
      </c>
      <c r="AG1" s="653"/>
      <c r="AH1" s="638" t="s">
        <v>568</v>
      </c>
      <c r="AI1" s="639"/>
      <c r="AJ1" s="643" t="s">
        <v>575</v>
      </c>
      <c r="AK1" s="643"/>
      <c r="AL1" s="652" t="s">
        <v>576</v>
      </c>
      <c r="AM1" s="653"/>
      <c r="AN1" s="638" t="s">
        <v>577</v>
      </c>
      <c r="AO1" s="639"/>
      <c r="AP1" s="643" t="s">
        <v>578</v>
      </c>
      <c r="AQ1" s="643"/>
      <c r="AR1" s="652" t="s">
        <v>570</v>
      </c>
      <c r="AS1" s="653"/>
      <c r="AT1" s="638" t="s">
        <v>568</v>
      </c>
      <c r="AU1" s="639"/>
      <c r="AV1" s="643" t="s">
        <v>579</v>
      </c>
      <c r="AW1" s="643"/>
      <c r="AX1" s="652" t="s">
        <v>570</v>
      </c>
      <c r="AY1" s="653"/>
      <c r="AZ1" s="638" t="s">
        <v>568</v>
      </c>
      <c r="BA1" s="639"/>
      <c r="BB1" s="643" t="s">
        <v>580</v>
      </c>
      <c r="BC1" s="643"/>
      <c r="BD1" s="652" t="s">
        <v>570</v>
      </c>
      <c r="BE1" s="653"/>
      <c r="BF1" s="638" t="s">
        <v>568</v>
      </c>
      <c r="BG1" s="639"/>
      <c r="BH1" s="643" t="s">
        <v>581</v>
      </c>
      <c r="BI1" s="643"/>
      <c r="BJ1" s="652" t="s">
        <v>570</v>
      </c>
      <c r="BK1" s="653"/>
      <c r="BL1" s="638" t="s">
        <v>568</v>
      </c>
      <c r="BM1" s="639"/>
      <c r="BN1" s="643" t="s">
        <v>582</v>
      </c>
      <c r="BO1" s="643"/>
      <c r="BP1" s="652" t="s">
        <v>570</v>
      </c>
      <c r="BQ1" s="653"/>
      <c r="BR1" s="638" t="s">
        <v>568</v>
      </c>
      <c r="BS1" s="639"/>
      <c r="BT1" s="643" t="s">
        <v>583</v>
      </c>
      <c r="BU1" s="643"/>
      <c r="BV1" s="652" t="s">
        <v>584</v>
      </c>
      <c r="BW1" s="653"/>
      <c r="BX1" s="638" t="s">
        <v>585</v>
      </c>
      <c r="BY1" s="639"/>
      <c r="BZ1" s="643" t="s">
        <v>586</v>
      </c>
      <c r="CA1" s="643"/>
      <c r="CB1" s="652" t="s">
        <v>587</v>
      </c>
      <c r="CC1" s="653"/>
      <c r="CD1" s="638" t="s">
        <v>588</v>
      </c>
      <c r="CE1" s="639"/>
      <c r="CF1" s="643" t="s">
        <v>589</v>
      </c>
      <c r="CG1" s="643"/>
      <c r="CH1" s="652" t="s">
        <v>587</v>
      </c>
      <c r="CI1" s="653"/>
      <c r="CJ1" s="638" t="s">
        <v>588</v>
      </c>
      <c r="CK1" s="639"/>
      <c r="CL1" s="643" t="s">
        <v>590</v>
      </c>
      <c r="CM1" s="643"/>
      <c r="CN1" s="652" t="s">
        <v>587</v>
      </c>
      <c r="CO1" s="653"/>
      <c r="CP1" s="638" t="s">
        <v>588</v>
      </c>
      <c r="CQ1" s="639"/>
      <c r="CR1" s="643" t="s">
        <v>591</v>
      </c>
      <c r="CS1" s="643"/>
      <c r="CT1" s="652" t="s">
        <v>587</v>
      </c>
      <c r="CU1" s="653"/>
      <c r="CV1" s="654" t="s">
        <v>588</v>
      </c>
      <c r="CW1" s="655"/>
      <c r="CX1" s="643" t="s">
        <v>592</v>
      </c>
      <c r="CY1" s="643"/>
      <c r="CZ1" s="652" t="s">
        <v>587</v>
      </c>
      <c r="DA1" s="653"/>
      <c r="DB1" s="654" t="s">
        <v>588</v>
      </c>
      <c r="DC1" s="655"/>
      <c r="DD1" s="643" t="s">
        <v>593</v>
      </c>
      <c r="DE1" s="643"/>
      <c r="DF1" s="652" t="s">
        <v>594</v>
      </c>
      <c r="DG1" s="653"/>
      <c r="DH1" s="654" t="s">
        <v>595</v>
      </c>
      <c r="DI1" s="655"/>
      <c r="DJ1" s="643" t="s">
        <v>596</v>
      </c>
      <c r="DK1" s="643"/>
      <c r="DL1" s="652" t="s">
        <v>594</v>
      </c>
      <c r="DM1" s="653"/>
      <c r="DN1" s="654" t="s">
        <v>588</v>
      </c>
      <c r="DO1" s="655"/>
      <c r="DP1" s="643" t="s">
        <v>597</v>
      </c>
      <c r="DQ1" s="643"/>
      <c r="DR1" s="652" t="s">
        <v>594</v>
      </c>
      <c r="DS1" s="653"/>
      <c r="DT1" s="654" t="s">
        <v>588</v>
      </c>
      <c r="DU1" s="655"/>
      <c r="DV1" s="643" t="s">
        <v>598</v>
      </c>
      <c r="DW1" s="643"/>
      <c r="DX1" s="652" t="s">
        <v>594</v>
      </c>
      <c r="DY1" s="653"/>
      <c r="DZ1" s="654" t="s">
        <v>588</v>
      </c>
      <c r="EA1" s="655"/>
      <c r="EB1" s="643" t="s">
        <v>599</v>
      </c>
      <c r="EC1" s="643"/>
      <c r="ED1" s="652" t="s">
        <v>594</v>
      </c>
      <c r="EE1" s="653"/>
      <c r="EF1" s="654" t="s">
        <v>588</v>
      </c>
      <c r="EG1" s="655"/>
      <c r="EH1" s="643" t="s">
        <v>600</v>
      </c>
      <c r="EI1" s="643"/>
      <c r="EJ1" s="652" t="s">
        <v>594</v>
      </c>
      <c r="EK1" s="653"/>
      <c r="EL1" s="654" t="s">
        <v>601</v>
      </c>
      <c r="EM1" s="655"/>
      <c r="EN1" s="643" t="s">
        <v>602</v>
      </c>
      <c r="EO1" s="643"/>
      <c r="EP1" s="652" t="s">
        <v>594</v>
      </c>
      <c r="EQ1" s="653"/>
      <c r="ER1" s="654" t="s">
        <v>603</v>
      </c>
      <c r="ES1" s="655"/>
      <c r="ET1" s="643" t="s">
        <v>604</v>
      </c>
      <c r="EU1" s="643"/>
      <c r="EV1" s="652" t="s">
        <v>594</v>
      </c>
      <c r="EW1" s="653"/>
      <c r="EX1" s="654" t="s">
        <v>103</v>
      </c>
      <c r="EY1" s="655"/>
      <c r="EZ1" s="643" t="s">
        <v>605</v>
      </c>
      <c r="FA1" s="643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51" t="s">
        <v>672</v>
      </c>
      <c r="CU7" s="643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51" t="s">
        <v>702</v>
      </c>
      <c r="DA8" s="643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51" t="s">
        <v>702</v>
      </c>
      <c r="DG8" s="643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51" t="s">
        <v>702</v>
      </c>
      <c r="DM8" s="643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51" t="s">
        <v>702</v>
      </c>
      <c r="DS8" s="643"/>
      <c r="DT8" s="14" t="s">
        <v>700</v>
      </c>
      <c r="DU8" s="14">
        <f>SUM(DU13:DU17)</f>
        <v>32</v>
      </c>
      <c r="DV8" s="9"/>
      <c r="DW8" s="9"/>
      <c r="DX8" s="651" t="s">
        <v>702</v>
      </c>
      <c r="DY8" s="64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51" t="s">
        <v>703</v>
      </c>
      <c r="EK8" s="64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51" t="s">
        <v>703</v>
      </c>
      <c r="EQ9" s="643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51" t="s">
        <v>703</v>
      </c>
      <c r="EW9" s="643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51" t="s">
        <v>703</v>
      </c>
      <c r="EE11" s="643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51" t="s">
        <v>702</v>
      </c>
      <c r="CU12" s="64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26" t="s">
        <v>912</v>
      </c>
      <c r="CU19" s="62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49" t="s">
        <v>943</v>
      </c>
      <c r="FA21" s="649"/>
      <c r="FC21" s="368">
        <f>FC20-FC22</f>
        <v>113457.16899999997</v>
      </c>
      <c r="FD21" s="346"/>
      <c r="FE21" s="650" t="s">
        <v>945</v>
      </c>
      <c r="FF21" s="650"/>
      <c r="FG21" s="65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49" t="s">
        <v>953</v>
      </c>
      <c r="FA22" s="649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49" t="s">
        <v>969</v>
      </c>
      <c r="FA23" s="649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49" t="s">
        <v>979</v>
      </c>
      <c r="FA24" s="649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47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48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47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48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workbookViewId="0">
      <selection activeCell="E11" sqref="E11"/>
    </sheetView>
  </sheetViews>
  <sheetFormatPr defaultColWidth="9" defaultRowHeight="12.75"/>
  <cols>
    <col min="1" max="1" width="2" customWidth="1"/>
    <col min="2" max="2" width="9.85546875" customWidth="1"/>
    <col min="3" max="3" width="5" customWidth="1"/>
    <col min="4" max="4" width="21" customWidth="1"/>
    <col min="5" max="5" width="7.42578125" customWidth="1"/>
    <col min="6" max="6" width="74.28515625" customWidth="1"/>
  </cols>
  <sheetData>
    <row r="2" spans="1:6">
      <c r="A2" s="44"/>
      <c r="B2" s="9" t="s">
        <v>1117</v>
      </c>
      <c r="C2" s="9" t="s">
        <v>3349</v>
      </c>
      <c r="D2" s="45" t="s">
        <v>3350</v>
      </c>
      <c r="E2" s="9" t="s">
        <v>3351</v>
      </c>
      <c r="F2" s="35" t="s">
        <v>3352</v>
      </c>
    </row>
    <row r="3" spans="1:6">
      <c r="A3" s="44"/>
      <c r="B3" s="46" t="s">
        <v>3353</v>
      </c>
      <c r="C3" s="9" t="s">
        <v>3354</v>
      </c>
      <c r="D3" s="9" t="s">
        <v>3355</v>
      </c>
      <c r="E3" s="46" t="s">
        <v>3356</v>
      </c>
    </row>
    <row r="4" spans="1:6">
      <c r="B4" s="46" t="s">
        <v>3353</v>
      </c>
      <c r="C4" s="46" t="s">
        <v>3357</v>
      </c>
      <c r="D4" s="584" t="s">
        <v>3358</v>
      </c>
      <c r="E4" s="47" t="s">
        <v>3359</v>
      </c>
      <c r="F4" s="44" t="s">
        <v>3360</v>
      </c>
    </row>
    <row r="5" spans="1:6">
      <c r="B5" s="46" t="s">
        <v>3353</v>
      </c>
      <c r="C5" s="47" t="s">
        <v>3361</v>
      </c>
      <c r="D5" s="46" t="s">
        <v>3362</v>
      </c>
      <c r="E5" s="9" t="s">
        <v>3363</v>
      </c>
      <c r="F5" t="s">
        <v>3364</v>
      </c>
    </row>
    <row r="6" spans="1:6">
      <c r="B6" s="46"/>
      <c r="C6" s="46"/>
      <c r="D6" s="584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46" t="s">
        <v>3365</v>
      </c>
      <c r="D9" s="46" t="s">
        <v>3366</v>
      </c>
      <c r="E9" s="9">
        <v>3.7</v>
      </c>
    </row>
    <row r="10" spans="1:6">
      <c r="B10" s="46"/>
      <c r="C10" s="46" t="s">
        <v>3367</v>
      </c>
      <c r="D10" s="9" t="s">
        <v>3368</v>
      </c>
      <c r="E10" s="21" t="s">
        <v>3422</v>
      </c>
    </row>
    <row r="11" spans="1:6">
      <c r="B11" s="46" t="s">
        <v>3369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48" t="s">
        <v>3370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abSelected="1" topLeftCell="MM1" workbookViewId="0">
      <selection activeCell="MY14" sqref="MY14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1" customWidth="1"/>
    <col min="357" max="357" width="9.5703125" style="49" customWidth="1"/>
    <col min="358" max="358" width="23.85546875" style="601" customWidth="1"/>
    <col min="359" max="359" width="8.5703125" style="601" customWidth="1"/>
    <col min="360" max="360" width="18.85546875" style="601" customWidth="1"/>
    <col min="361" max="361" width="10" style="601" customWidth="1"/>
    <col min="362" max="362" width="7.140625" style="49" customWidth="1"/>
    <col min="363" max="363" width="11.5703125" style="601" customWidth="1"/>
    <col min="364" max="16384" width="14.5703125" style="14"/>
  </cols>
  <sheetData>
    <row r="1" spans="1:363">
      <c r="A1" s="660" t="s">
        <v>1017</v>
      </c>
      <c r="B1" s="660"/>
      <c r="C1" s="634" t="s">
        <v>92</v>
      </c>
      <c r="D1" s="635"/>
      <c r="E1" s="624" t="s">
        <v>1018</v>
      </c>
      <c r="F1" s="625"/>
      <c r="G1" s="660" t="s">
        <v>1019</v>
      </c>
      <c r="H1" s="660"/>
      <c r="I1" s="634" t="s">
        <v>92</v>
      </c>
      <c r="J1" s="635"/>
      <c r="K1" s="624" t="s">
        <v>1020</v>
      </c>
      <c r="L1" s="625"/>
      <c r="M1" s="660" t="s">
        <v>1021</v>
      </c>
      <c r="N1" s="660"/>
      <c r="O1" s="634" t="s">
        <v>92</v>
      </c>
      <c r="P1" s="635"/>
      <c r="Q1" s="624" t="s">
        <v>1022</v>
      </c>
      <c r="R1" s="625"/>
      <c r="S1" s="660" t="s">
        <v>1023</v>
      </c>
      <c r="T1" s="660"/>
      <c r="U1" s="634" t="s">
        <v>92</v>
      </c>
      <c r="V1" s="635"/>
      <c r="W1" s="624" t="s">
        <v>577</v>
      </c>
      <c r="X1" s="625"/>
      <c r="Y1" s="660" t="s">
        <v>1024</v>
      </c>
      <c r="Z1" s="660"/>
      <c r="AA1" s="634" t="s">
        <v>92</v>
      </c>
      <c r="AB1" s="635"/>
      <c r="AC1" s="624" t="s">
        <v>1025</v>
      </c>
      <c r="AD1" s="625"/>
      <c r="AE1" s="660" t="s">
        <v>1026</v>
      </c>
      <c r="AF1" s="660"/>
      <c r="AG1" s="634" t="s">
        <v>92</v>
      </c>
      <c r="AH1" s="635"/>
      <c r="AI1" s="624" t="s">
        <v>1027</v>
      </c>
      <c r="AJ1" s="625"/>
      <c r="AK1" s="660" t="s">
        <v>1028</v>
      </c>
      <c r="AL1" s="660"/>
      <c r="AM1" s="634" t="s">
        <v>1029</v>
      </c>
      <c r="AN1" s="635"/>
      <c r="AO1" s="624" t="s">
        <v>1030</v>
      </c>
      <c r="AP1" s="625"/>
      <c r="AQ1" s="660" t="s">
        <v>1031</v>
      </c>
      <c r="AR1" s="660"/>
      <c r="AS1" s="634" t="s">
        <v>1029</v>
      </c>
      <c r="AT1" s="635"/>
      <c r="AU1" s="624" t="s">
        <v>1032</v>
      </c>
      <c r="AV1" s="625"/>
      <c r="AW1" s="660" t="s">
        <v>1033</v>
      </c>
      <c r="AX1" s="660"/>
      <c r="AY1" s="624" t="s">
        <v>1034</v>
      </c>
      <c r="AZ1" s="625"/>
      <c r="BA1" s="660" t="s">
        <v>1033</v>
      </c>
      <c r="BB1" s="660"/>
      <c r="BC1" s="634" t="s">
        <v>594</v>
      </c>
      <c r="BD1" s="635"/>
      <c r="BE1" s="624" t="s">
        <v>1035</v>
      </c>
      <c r="BF1" s="625"/>
      <c r="BG1" s="660" t="s">
        <v>1036</v>
      </c>
      <c r="BH1" s="660"/>
      <c r="BI1" s="634" t="s">
        <v>594</v>
      </c>
      <c r="BJ1" s="635"/>
      <c r="BK1" s="624" t="s">
        <v>1035</v>
      </c>
      <c r="BL1" s="625"/>
      <c r="BM1" s="660" t="s">
        <v>1037</v>
      </c>
      <c r="BN1" s="660"/>
      <c r="BO1" s="634" t="s">
        <v>594</v>
      </c>
      <c r="BP1" s="635"/>
      <c r="BQ1" s="624" t="s">
        <v>1038</v>
      </c>
      <c r="BR1" s="625"/>
      <c r="BS1" s="660" t="s">
        <v>1039</v>
      </c>
      <c r="BT1" s="660"/>
      <c r="BU1" s="634" t="s">
        <v>594</v>
      </c>
      <c r="BV1" s="635"/>
      <c r="BW1" s="624" t="s">
        <v>1040</v>
      </c>
      <c r="BX1" s="625"/>
      <c r="BY1" s="660" t="s">
        <v>1041</v>
      </c>
      <c r="BZ1" s="660"/>
      <c r="CA1" s="634" t="s">
        <v>594</v>
      </c>
      <c r="CB1" s="635"/>
      <c r="CC1" s="624" t="s">
        <v>1038</v>
      </c>
      <c r="CD1" s="625"/>
      <c r="CE1" s="660" t="s">
        <v>1042</v>
      </c>
      <c r="CF1" s="660"/>
      <c r="CG1" s="634" t="s">
        <v>594</v>
      </c>
      <c r="CH1" s="635"/>
      <c r="CI1" s="624" t="s">
        <v>1040</v>
      </c>
      <c r="CJ1" s="625"/>
      <c r="CK1" s="660" t="s">
        <v>1043</v>
      </c>
      <c r="CL1" s="660"/>
      <c r="CM1" s="634" t="s">
        <v>594</v>
      </c>
      <c r="CN1" s="635"/>
      <c r="CO1" s="624" t="s">
        <v>1038</v>
      </c>
      <c r="CP1" s="625"/>
      <c r="CQ1" s="660" t="s">
        <v>1044</v>
      </c>
      <c r="CR1" s="660"/>
      <c r="CS1" s="681" t="s">
        <v>594</v>
      </c>
      <c r="CT1" s="682"/>
      <c r="CU1" s="624" t="s">
        <v>1045</v>
      </c>
      <c r="CV1" s="625"/>
      <c r="CW1" s="660" t="s">
        <v>1046</v>
      </c>
      <c r="CX1" s="660"/>
      <c r="CY1" s="681" t="s">
        <v>594</v>
      </c>
      <c r="CZ1" s="682"/>
      <c r="DA1" s="624" t="s">
        <v>1047</v>
      </c>
      <c r="DB1" s="625"/>
      <c r="DC1" s="660" t="s">
        <v>1048</v>
      </c>
      <c r="DD1" s="660"/>
      <c r="DE1" s="681" t="s">
        <v>594</v>
      </c>
      <c r="DF1" s="682"/>
      <c r="DG1" s="624" t="s">
        <v>1049</v>
      </c>
      <c r="DH1" s="625"/>
      <c r="DI1" s="660" t="s">
        <v>1050</v>
      </c>
      <c r="DJ1" s="660"/>
      <c r="DK1" s="681" t="s">
        <v>594</v>
      </c>
      <c r="DL1" s="682"/>
      <c r="DM1" s="624" t="s">
        <v>1045</v>
      </c>
      <c r="DN1" s="625"/>
      <c r="DO1" s="660" t="s">
        <v>1051</v>
      </c>
      <c r="DP1" s="660"/>
      <c r="DQ1" s="681" t="s">
        <v>594</v>
      </c>
      <c r="DR1" s="682"/>
      <c r="DS1" s="624" t="s">
        <v>1052</v>
      </c>
      <c r="DT1" s="625"/>
      <c r="DU1" s="660" t="s">
        <v>1053</v>
      </c>
      <c r="DV1" s="660"/>
      <c r="DW1" s="681" t="s">
        <v>594</v>
      </c>
      <c r="DX1" s="682"/>
      <c r="DY1" s="624" t="s">
        <v>1054</v>
      </c>
      <c r="DZ1" s="625"/>
      <c r="EA1" s="676" t="s">
        <v>1055</v>
      </c>
      <c r="EB1" s="676"/>
      <c r="EC1" s="681" t="s">
        <v>594</v>
      </c>
      <c r="ED1" s="682"/>
      <c r="EE1" s="624" t="s">
        <v>1052</v>
      </c>
      <c r="EF1" s="625"/>
      <c r="EG1" s="54"/>
      <c r="EH1" s="676" t="s">
        <v>1056</v>
      </c>
      <c r="EI1" s="676"/>
      <c r="EJ1" s="681" t="s">
        <v>594</v>
      </c>
      <c r="EK1" s="682"/>
      <c r="EL1" s="624" t="s">
        <v>1057</v>
      </c>
      <c r="EM1" s="625"/>
      <c r="EN1" s="676" t="s">
        <v>1058</v>
      </c>
      <c r="EO1" s="676"/>
      <c r="EP1" s="681" t="s">
        <v>594</v>
      </c>
      <c r="EQ1" s="682"/>
      <c r="ER1" s="624" t="s">
        <v>1059</v>
      </c>
      <c r="ES1" s="625"/>
      <c r="ET1" s="676" t="s">
        <v>1060</v>
      </c>
      <c r="EU1" s="676"/>
      <c r="EV1" s="681" t="s">
        <v>594</v>
      </c>
      <c r="EW1" s="682"/>
      <c r="EX1" s="624" t="s">
        <v>1054</v>
      </c>
      <c r="EY1" s="625"/>
      <c r="EZ1" s="676" t="s">
        <v>1061</v>
      </c>
      <c r="FA1" s="676"/>
      <c r="FB1" s="681" t="s">
        <v>594</v>
      </c>
      <c r="FC1" s="682"/>
      <c r="FD1" s="624" t="s">
        <v>1047</v>
      </c>
      <c r="FE1" s="625"/>
      <c r="FF1" s="676" t="s">
        <v>1062</v>
      </c>
      <c r="FG1" s="676"/>
      <c r="FH1" s="681" t="s">
        <v>594</v>
      </c>
      <c r="FI1" s="682"/>
      <c r="FJ1" s="624" t="s">
        <v>1045</v>
      </c>
      <c r="FK1" s="625"/>
      <c r="FL1" s="676" t="s">
        <v>1063</v>
      </c>
      <c r="FM1" s="676"/>
      <c r="FN1" s="681" t="s">
        <v>594</v>
      </c>
      <c r="FO1" s="682"/>
      <c r="FP1" s="624" t="s">
        <v>1064</v>
      </c>
      <c r="FQ1" s="625"/>
      <c r="FR1" s="676" t="s">
        <v>1065</v>
      </c>
      <c r="FS1" s="676"/>
      <c r="FT1" s="681" t="s">
        <v>594</v>
      </c>
      <c r="FU1" s="682"/>
      <c r="FV1" s="624" t="s">
        <v>1064</v>
      </c>
      <c r="FW1" s="625"/>
      <c r="FX1" s="676" t="s">
        <v>1066</v>
      </c>
      <c r="FY1" s="676"/>
      <c r="FZ1" s="681" t="s">
        <v>594</v>
      </c>
      <c r="GA1" s="682"/>
      <c r="GB1" s="624" t="s">
        <v>1054</v>
      </c>
      <c r="GC1" s="625"/>
      <c r="GD1" s="676" t="s">
        <v>1067</v>
      </c>
      <c r="GE1" s="676"/>
      <c r="GF1" s="681" t="s">
        <v>594</v>
      </c>
      <c r="GG1" s="682"/>
      <c r="GH1" s="624" t="s">
        <v>1052</v>
      </c>
      <c r="GI1" s="625"/>
      <c r="GJ1" s="676" t="s">
        <v>1068</v>
      </c>
      <c r="GK1" s="676"/>
      <c r="GL1" s="681" t="s">
        <v>594</v>
      </c>
      <c r="GM1" s="682"/>
      <c r="GN1" s="624" t="s">
        <v>1052</v>
      </c>
      <c r="GO1" s="625"/>
      <c r="GP1" s="676" t="s">
        <v>1069</v>
      </c>
      <c r="GQ1" s="676"/>
      <c r="GR1" s="681" t="s">
        <v>594</v>
      </c>
      <c r="GS1" s="682"/>
      <c r="GT1" s="624" t="s">
        <v>1057</v>
      </c>
      <c r="GU1" s="625"/>
      <c r="GV1" s="676" t="s">
        <v>1070</v>
      </c>
      <c r="GW1" s="676"/>
      <c r="GX1" s="681" t="s">
        <v>594</v>
      </c>
      <c r="GY1" s="682"/>
      <c r="GZ1" s="624" t="s">
        <v>1071</v>
      </c>
      <c r="HA1" s="625"/>
      <c r="HB1" s="676" t="s">
        <v>1072</v>
      </c>
      <c r="HC1" s="676"/>
      <c r="HD1" s="681" t="s">
        <v>594</v>
      </c>
      <c r="HE1" s="682"/>
      <c r="HF1" s="624" t="s">
        <v>1059</v>
      </c>
      <c r="HG1" s="625"/>
      <c r="HH1" s="676" t="s">
        <v>1073</v>
      </c>
      <c r="HI1" s="676"/>
      <c r="HJ1" s="681" t="s">
        <v>594</v>
      </c>
      <c r="HK1" s="682"/>
      <c r="HL1" s="624" t="s">
        <v>1045</v>
      </c>
      <c r="HM1" s="625"/>
      <c r="HN1" s="676" t="s">
        <v>1074</v>
      </c>
      <c r="HO1" s="676"/>
      <c r="HP1" s="681" t="s">
        <v>594</v>
      </c>
      <c r="HQ1" s="682"/>
      <c r="HR1" s="624" t="s">
        <v>1045</v>
      </c>
      <c r="HS1" s="625"/>
      <c r="HT1" s="676" t="s">
        <v>1075</v>
      </c>
      <c r="HU1" s="676"/>
      <c r="HV1" s="681" t="s">
        <v>594</v>
      </c>
      <c r="HW1" s="682"/>
      <c r="HX1" s="624" t="s">
        <v>1054</v>
      </c>
      <c r="HY1" s="625"/>
      <c r="HZ1" s="676" t="s">
        <v>1076</v>
      </c>
      <c r="IA1" s="676"/>
      <c r="IB1" s="681" t="s">
        <v>594</v>
      </c>
      <c r="IC1" s="682"/>
      <c r="ID1" s="624" t="s">
        <v>1059</v>
      </c>
      <c r="IE1" s="625"/>
      <c r="IF1" s="676" t="s">
        <v>1077</v>
      </c>
      <c r="IG1" s="676"/>
      <c r="IH1" s="681" t="s">
        <v>594</v>
      </c>
      <c r="II1" s="682"/>
      <c r="IJ1" s="624" t="s">
        <v>1052</v>
      </c>
      <c r="IK1" s="625"/>
      <c r="IL1" s="676" t="s">
        <v>1078</v>
      </c>
      <c r="IM1" s="676"/>
      <c r="IN1" s="681" t="s">
        <v>594</v>
      </c>
      <c r="IO1" s="682"/>
      <c r="IP1" s="624" t="s">
        <v>1054</v>
      </c>
      <c r="IQ1" s="625"/>
      <c r="IR1" s="676" t="s">
        <v>1079</v>
      </c>
      <c r="IS1" s="676"/>
      <c r="IT1" s="681" t="s">
        <v>594</v>
      </c>
      <c r="IU1" s="682"/>
      <c r="IV1" s="624" t="s">
        <v>1080</v>
      </c>
      <c r="IW1" s="625"/>
      <c r="IX1" s="676" t="s">
        <v>1081</v>
      </c>
      <c r="IY1" s="676"/>
      <c r="IZ1" s="681" t="s">
        <v>594</v>
      </c>
      <c r="JA1" s="682"/>
      <c r="JB1" s="624" t="s">
        <v>1064</v>
      </c>
      <c r="JC1" s="625"/>
      <c r="JD1" s="676" t="s">
        <v>1082</v>
      </c>
      <c r="JE1" s="676"/>
      <c r="JF1" s="681" t="s">
        <v>594</v>
      </c>
      <c r="JG1" s="682"/>
      <c r="JH1" s="624" t="s">
        <v>1080</v>
      </c>
      <c r="JI1" s="625"/>
      <c r="JJ1" s="676" t="s">
        <v>1083</v>
      </c>
      <c r="JK1" s="676"/>
      <c r="JL1" s="580" t="s">
        <v>594</v>
      </c>
      <c r="JM1" s="111"/>
      <c r="JN1" s="546" t="s">
        <v>1080</v>
      </c>
      <c r="JO1" s="54"/>
      <c r="JP1" s="676" t="s">
        <v>1084</v>
      </c>
      <c r="JQ1" s="676"/>
      <c r="JR1" s="580" t="s">
        <v>594</v>
      </c>
      <c r="JS1" s="111"/>
      <c r="JT1" s="546" t="s">
        <v>1057</v>
      </c>
      <c r="JU1" s="54"/>
      <c r="JV1" s="676" t="s">
        <v>1085</v>
      </c>
      <c r="JW1" s="676"/>
      <c r="JX1" s="580" t="s">
        <v>594</v>
      </c>
      <c r="JY1" s="111"/>
      <c r="JZ1" s="546" t="s">
        <v>1086</v>
      </c>
      <c r="KA1" s="54"/>
      <c r="KB1" s="676" t="s">
        <v>1087</v>
      </c>
      <c r="KC1" s="676"/>
      <c r="KD1" s="580" t="s">
        <v>594</v>
      </c>
      <c r="KE1" s="111"/>
      <c r="KF1" s="546" t="s">
        <v>1045</v>
      </c>
      <c r="KG1" s="54"/>
      <c r="KH1" s="676" t="s">
        <v>1088</v>
      </c>
      <c r="KI1" s="676"/>
      <c r="KJ1" s="580" t="s">
        <v>594</v>
      </c>
      <c r="KK1" s="111"/>
      <c r="KL1" s="546" t="s">
        <v>1052</v>
      </c>
      <c r="KM1" s="54"/>
      <c r="KN1" s="676" t="s">
        <v>1089</v>
      </c>
      <c r="KO1" s="676"/>
      <c r="KP1" s="580" t="s">
        <v>594</v>
      </c>
      <c r="KQ1" s="111"/>
      <c r="KR1" s="546" t="s">
        <v>1052</v>
      </c>
      <c r="KS1" s="54"/>
      <c r="KT1" s="676" t="s">
        <v>1090</v>
      </c>
      <c r="KU1" s="676"/>
      <c r="KV1" s="580" t="s">
        <v>594</v>
      </c>
      <c r="KW1" s="111"/>
      <c r="KX1" s="546" t="s">
        <v>1052</v>
      </c>
      <c r="KY1" s="54"/>
      <c r="KZ1" s="676" t="s">
        <v>1091</v>
      </c>
      <c r="LA1" s="676"/>
      <c r="LB1" s="580" t="s">
        <v>594</v>
      </c>
      <c r="LC1" s="111"/>
      <c r="LD1" s="546" t="s">
        <v>1080</v>
      </c>
      <c r="LE1" s="54"/>
      <c r="LF1" s="676" t="s">
        <v>1092</v>
      </c>
      <c r="LG1" s="676"/>
      <c r="LH1" s="580" t="s">
        <v>594</v>
      </c>
      <c r="LI1" s="111"/>
      <c r="LJ1" s="546" t="s">
        <v>1080</v>
      </c>
      <c r="LK1" s="54"/>
      <c r="LL1" s="676" t="s">
        <v>1093</v>
      </c>
      <c r="LM1" s="676"/>
      <c r="LN1" s="580" t="s">
        <v>594</v>
      </c>
      <c r="LO1" s="309"/>
      <c r="LP1" s="546" t="s">
        <v>1080</v>
      </c>
      <c r="LQ1" s="54"/>
      <c r="LR1" s="676" t="s">
        <v>1094</v>
      </c>
      <c r="LS1" s="676"/>
      <c r="LT1" s="580" t="s">
        <v>594</v>
      </c>
      <c r="LU1" s="309"/>
      <c r="LV1" s="546" t="s">
        <v>1064</v>
      </c>
      <c r="LW1" s="54"/>
      <c r="LX1" s="676" t="s">
        <v>1095</v>
      </c>
      <c r="LY1" s="676"/>
      <c r="LZ1" s="580" t="s">
        <v>594</v>
      </c>
      <c r="MA1" s="309"/>
      <c r="MB1" s="546" t="s">
        <v>1080</v>
      </c>
      <c r="MC1" s="54"/>
      <c r="MD1" s="677" t="s">
        <v>1096</v>
      </c>
      <c r="ME1" s="676"/>
      <c r="MF1" s="580" t="s">
        <v>594</v>
      </c>
      <c r="MG1" s="309"/>
      <c r="MH1" s="546" t="s">
        <v>1080</v>
      </c>
      <c r="MI1" s="54"/>
      <c r="MJ1" s="677" t="s">
        <v>1097</v>
      </c>
      <c r="MK1" s="676"/>
      <c r="ML1" s="580" t="s">
        <v>594</v>
      </c>
      <c r="MM1" s="309"/>
      <c r="MN1" s="546" t="s">
        <v>1080</v>
      </c>
      <c r="MO1" s="54"/>
      <c r="MP1" s="676" t="s">
        <v>3436</v>
      </c>
      <c r="MQ1" s="676"/>
      <c r="MR1" s="599" t="s">
        <v>594</v>
      </c>
      <c r="MS1" s="309"/>
      <c r="MT1" s="596" t="s">
        <v>1080</v>
      </c>
      <c r="MU1" s="597"/>
      <c r="MV1" s="676" t="s">
        <v>3437</v>
      </c>
      <c r="MW1" s="676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20140.730000000003</v>
      </c>
      <c r="MN2" s="76" t="s">
        <v>116</v>
      </c>
      <c r="MO2" s="319">
        <f>MM2+MK2-MQ2</f>
        <v>11248.099999999977</v>
      </c>
      <c r="MP2" s="14" t="s">
        <v>1108</v>
      </c>
      <c r="MQ2" s="51">
        <f>SUM(MQ7:MQ38)</f>
        <v>318412</v>
      </c>
      <c r="MR2" s="601" t="s">
        <v>1104</v>
      </c>
      <c r="MS2" s="255">
        <f>SUM(MS4:MS28)</f>
        <v>2012.69</v>
      </c>
      <c r="MT2" s="76" t="s">
        <v>116</v>
      </c>
      <c r="MU2" s="319">
        <f>MS2+MQ2-MW2</f>
        <v>474.68900000001304</v>
      </c>
      <c r="MV2" s="601" t="s">
        <v>1108</v>
      </c>
      <c r="MW2" s="51">
        <f>SUM(MW7:MW38)</f>
        <v>319950.00099999999</v>
      </c>
    </row>
    <row r="3" spans="1:363">
      <c r="A3" s="659" t="s">
        <v>1109</v>
      </c>
      <c r="B3" s="659"/>
      <c r="E3" s="59" t="s">
        <v>123</v>
      </c>
      <c r="F3" s="58">
        <f>F2-F4</f>
        <v>17</v>
      </c>
      <c r="G3" s="659" t="s">
        <v>1109</v>
      </c>
      <c r="H3" s="659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5762.8010000000122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4628.6819999999716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5093.1919999999809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9141.2800000000025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7787.9699999999766</v>
      </c>
      <c r="MP3" s="14" t="s">
        <v>1134</v>
      </c>
      <c r="MQ3" s="51">
        <f>SUM(MQ12:MQ13)</f>
        <v>-181579</v>
      </c>
      <c r="MS3" s="255"/>
      <c r="MT3" s="601" t="s">
        <v>1124</v>
      </c>
      <c r="MU3" s="97">
        <f>MU2-MS31-MS30</f>
        <v>474.68900000001304</v>
      </c>
      <c r="MV3" s="601" t="s">
        <v>1134</v>
      </c>
      <c r="MW3" s="51">
        <f>SUM(MW12:MW13)</f>
        <v>-181579</v>
      </c>
    </row>
    <row r="4" spans="1:363" ht="12.75" customHeight="1">
      <c r="A4" s="659"/>
      <c r="B4" s="659"/>
      <c r="E4" s="59" t="s">
        <v>134</v>
      </c>
      <c r="F4" s="58">
        <f>SUM(F14:F57)</f>
        <v>12750</v>
      </c>
      <c r="G4" s="659"/>
      <c r="H4" s="659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297">
        <f>LK2-LK5</f>
        <v>-8.8999999987208867E-2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7" t="s">
        <v>3419</v>
      </c>
      <c r="LW4" s="297">
        <f>LW2-LW5</f>
        <v>0.32199999995646067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7" t="s">
        <v>3419</v>
      </c>
      <c r="MC4" s="297">
        <f>MC2-MC5</f>
        <v>0.87199999998301791</v>
      </c>
      <c r="MD4" s="298">
        <v>20000</v>
      </c>
      <c r="ME4" s="299">
        <v>45412</v>
      </c>
      <c r="MF4" s="14" t="s">
        <v>1131</v>
      </c>
      <c r="MG4" s="125">
        <v>18611.73</v>
      </c>
      <c r="MH4" s="587" t="s">
        <v>3419</v>
      </c>
      <c r="MI4" s="336">
        <f>MI2-MI5</f>
        <v>-0.2999999999992724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3419</v>
      </c>
      <c r="MO4" s="336">
        <f>MO2-MO5</f>
        <v>-0.12000000002444722</v>
      </c>
      <c r="MP4" s="298"/>
      <c r="MQ4" s="299"/>
      <c r="MR4" s="601" t="s">
        <v>1131</v>
      </c>
      <c r="MS4" s="125"/>
      <c r="MT4" s="601" t="s">
        <v>3419</v>
      </c>
      <c r="MU4" s="336">
        <f>MU2-MU5</f>
        <v>0.75900000001303169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297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3" t="s">
        <v>1148</v>
      </c>
      <c r="MM5" s="125">
        <v>-200</v>
      </c>
      <c r="MN5" s="14" t="s">
        <v>134</v>
      </c>
      <c r="MO5" s="97">
        <f>SUM(MO6:MO50)</f>
        <v>11248.220000000001</v>
      </c>
      <c r="MP5" s="39">
        <v>5000</v>
      </c>
      <c r="MQ5" s="40">
        <v>45482</v>
      </c>
      <c r="MR5" s="593" t="s">
        <v>1148</v>
      </c>
      <c r="MS5" s="125"/>
      <c r="MT5" s="601" t="s">
        <v>134</v>
      </c>
      <c r="MU5" s="97">
        <f>SUM(MU6:MU44)</f>
        <v>473.93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6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6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6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6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602"/>
      <c r="MS6" s="125"/>
      <c r="MT6" s="120" t="s">
        <v>1281</v>
      </c>
      <c r="MU6" s="49"/>
      <c r="MV6" s="39">
        <v>5000</v>
      </c>
      <c r="MW6" s="40">
        <v>45496</v>
      </c>
    </row>
    <row r="7" spans="1:363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1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6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6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85" t="s">
        <v>3457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326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1" t="s">
        <v>1268</v>
      </c>
      <c r="MS7" s="255"/>
      <c r="MT7" s="120" t="s">
        <v>3453</v>
      </c>
      <c r="MU7" s="49"/>
      <c r="MV7" s="39" t="s">
        <v>1187</v>
      </c>
      <c r="MW7" s="325">
        <v>79000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6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6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85" t="s">
        <v>3458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14" t="s">
        <v>1330</v>
      </c>
      <c r="MM8" s="255">
        <f>1.8+69.6</f>
        <v>71.399999999999991</v>
      </c>
      <c r="MN8" s="120" t="s">
        <v>3452</v>
      </c>
      <c r="MO8" s="49">
        <v>1000.06</v>
      </c>
      <c r="MP8" s="261" t="s">
        <v>1231</v>
      </c>
      <c r="MQ8" s="300">
        <v>0</v>
      </c>
      <c r="MR8" s="601" t="s">
        <v>1330</v>
      </c>
      <c r="MS8" s="255"/>
      <c r="MT8" s="163" t="s">
        <v>1277</v>
      </c>
      <c r="MU8" s="49"/>
      <c r="MV8" s="261" t="s">
        <v>1231</v>
      </c>
      <c r="MW8" s="300">
        <v>0</v>
      </c>
      <c r="MX8" s="338">
        <v>45470</v>
      </c>
    </row>
    <row r="9" spans="1:363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6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14" t="s">
        <v>1330</v>
      </c>
      <c r="LU9" s="255">
        <v>65.001000000000005</v>
      </c>
      <c r="LV9" s="184" t="s">
        <v>1377</v>
      </c>
      <c r="LW9" s="49">
        <v>39000.01</v>
      </c>
      <c r="LX9" s="69" t="s">
        <v>1220</v>
      </c>
      <c r="LY9" s="51">
        <v>-4000</v>
      </c>
      <c r="LZ9" s="14" t="s">
        <v>1330</v>
      </c>
      <c r="MA9" s="255">
        <v>71.001000000000005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f>1154</f>
        <v>1154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7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327" t="s">
        <v>1381</v>
      </c>
      <c r="MS9" s="255"/>
      <c r="MT9" s="607" t="s">
        <v>3438</v>
      </c>
      <c r="MV9" s="605" t="s">
        <v>1278</v>
      </c>
      <c r="MW9" s="239">
        <v>0</v>
      </c>
      <c r="MX9" s="338"/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6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7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4" t="s">
        <v>646</v>
      </c>
      <c r="MN10" s="595" t="s">
        <v>3435</v>
      </c>
      <c r="MO10" s="613">
        <v>1476</v>
      </c>
      <c r="MP10" s="69" t="s">
        <v>1326</v>
      </c>
      <c r="MQ10" s="239">
        <v>150000</v>
      </c>
      <c r="MR10" s="602" t="s">
        <v>1438</v>
      </c>
      <c r="MS10" s="594"/>
      <c r="MT10" s="153" t="s">
        <v>3433</v>
      </c>
      <c r="MU10" s="62"/>
      <c r="MV10" s="605" t="s">
        <v>1326</v>
      </c>
      <c r="MW10" s="239">
        <v>0</v>
      </c>
      <c r="MX10" s="24">
        <v>45471</v>
      </c>
      <c r="MY10" s="601" t="s">
        <v>3454</v>
      </c>
    </row>
    <row r="11" spans="1:363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6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6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3433</v>
      </c>
      <c r="MO11" s="62">
        <v>140.49</v>
      </c>
      <c r="MP11" s="69" t="s">
        <v>1379</v>
      </c>
      <c r="MQ11" s="51">
        <v>50000</v>
      </c>
      <c r="MR11" s="602"/>
      <c r="MS11" s="255"/>
      <c r="MT11" s="153" t="s">
        <v>3430</v>
      </c>
      <c r="MU11" s="63"/>
      <c r="MV11" s="605" t="s">
        <v>1379</v>
      </c>
      <c r="MW11" s="51">
        <v>50000</v>
      </c>
      <c r="MX11" s="616" t="s">
        <v>3442</v>
      </c>
    </row>
    <row r="12" spans="1:363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6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52.000999999999998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3430</v>
      </c>
      <c r="MO12" s="63">
        <v>191.77</v>
      </c>
      <c r="MP12" s="14" t="s">
        <v>1276</v>
      </c>
      <c r="MQ12" s="51">
        <v>-64979</v>
      </c>
      <c r="MR12" s="601" t="s">
        <v>1548</v>
      </c>
      <c r="MS12" s="255"/>
      <c r="MT12" s="153" t="s">
        <v>1678</v>
      </c>
      <c r="MU12" s="49"/>
      <c r="MV12" s="601" t="s">
        <v>1276</v>
      </c>
      <c r="MW12" s="51">
        <v>-64979</v>
      </c>
      <c r="MX12" s="338">
        <v>45468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6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6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14" t="s">
        <v>1330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3" t="s">
        <v>1613</v>
      </c>
      <c r="MS13" s="255"/>
      <c r="MT13" s="153" t="s">
        <v>1734</v>
      </c>
      <c r="MU13" s="49"/>
      <c r="MV13" s="601" t="s">
        <v>1324</v>
      </c>
      <c r="MW13" s="51">
        <v>-116600</v>
      </c>
      <c r="MX13" s="338">
        <v>45470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678" t="s">
        <v>1631</v>
      </c>
      <c r="DP14" s="679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6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76" t="s">
        <v>1649</v>
      </c>
      <c r="HK14" s="676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7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9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329" t="s">
        <v>1677</v>
      </c>
      <c r="MS14" s="49">
        <v>33</v>
      </c>
      <c r="MT14" s="153" t="s">
        <v>1435</v>
      </c>
      <c r="MU14" s="49"/>
      <c r="MV14" s="605" t="s">
        <v>1220</v>
      </c>
      <c r="MW14" s="51">
        <v>-4000</v>
      </c>
      <c r="MX14" s="338"/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6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6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680" t="s">
        <v>1605</v>
      </c>
      <c r="KE15" s="680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7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329" t="s">
        <v>3451</v>
      </c>
      <c r="MS15" s="255">
        <f>3+211.45</f>
        <v>214.45</v>
      </c>
      <c r="MT15" s="153" t="s">
        <v>1487</v>
      </c>
      <c r="MU15" s="52" t="s">
        <v>3448</v>
      </c>
      <c r="MV15" s="603" t="s">
        <v>1433</v>
      </c>
      <c r="MW15" s="100">
        <v>-92000</v>
      </c>
      <c r="MX15" s="338">
        <v>45472</v>
      </c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6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90" t="s">
        <v>3416</v>
      </c>
      <c r="MM16" s="330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601" t="s">
        <v>1404</v>
      </c>
      <c r="MT16" s="153" t="s">
        <v>1547</v>
      </c>
      <c r="MU16" s="49"/>
      <c r="MV16" s="605" t="s">
        <v>1482</v>
      </c>
      <c r="MW16" s="51">
        <v>0</v>
      </c>
      <c r="MX16" s="338">
        <v>45470</v>
      </c>
    </row>
    <row r="17" spans="1:363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8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1" t="s">
        <v>3434</v>
      </c>
      <c r="MM17" s="330">
        <v>984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50" t="s">
        <v>1598</v>
      </c>
      <c r="MT17" s="153" t="s">
        <v>1612</v>
      </c>
      <c r="MU17" s="49"/>
      <c r="MV17" s="605" t="s">
        <v>1606</v>
      </c>
      <c r="MW17" s="51">
        <v>102222</v>
      </c>
      <c r="MX17" s="338" t="s">
        <v>3455</v>
      </c>
      <c r="MY17" s="14"/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678" t="s">
        <v>1864</v>
      </c>
      <c r="DJ18" s="679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6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6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6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8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1"/>
      <c r="MM18" s="330"/>
      <c r="MN18" s="153" t="s">
        <v>2041</v>
      </c>
      <c r="MO18" s="49">
        <v>10</v>
      </c>
      <c r="MP18" s="69" t="s">
        <v>1540</v>
      </c>
      <c r="MQ18" s="614">
        <v>214001</v>
      </c>
      <c r="MR18" s="600" t="s">
        <v>1605</v>
      </c>
      <c r="MS18" s="600"/>
      <c r="MT18" s="153" t="s">
        <v>1675</v>
      </c>
      <c r="MU18" s="49">
        <f>16.93</f>
        <v>16.93</v>
      </c>
      <c r="MV18" s="605" t="s">
        <v>1540</v>
      </c>
      <c r="MW18" s="51">
        <v>249001</v>
      </c>
      <c r="MX18" s="338">
        <v>45474</v>
      </c>
      <c r="MY18" s="51"/>
    </row>
    <row r="19" spans="1:363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6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6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6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6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6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6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8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9" t="s">
        <v>1984</v>
      </c>
      <c r="MG19" s="49">
        <v>33.68</v>
      </c>
      <c r="MH19" s="328" t="s">
        <v>1985</v>
      </c>
      <c r="MI19" s="49">
        <f>10+10</f>
        <v>20</v>
      </c>
      <c r="MJ19" s="75" t="s">
        <v>1670</v>
      </c>
      <c r="MK19" s="250"/>
      <c r="ML19" s="331"/>
      <c r="MM19" s="330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686" t="s">
        <v>3459</v>
      </c>
      <c r="MS19" s="49">
        <v>489.97</v>
      </c>
      <c r="MT19" s="608" t="s">
        <v>3439</v>
      </c>
      <c r="MU19" s="49"/>
      <c r="MV19" s="604" t="s">
        <v>1670</v>
      </c>
      <c r="MW19" s="250"/>
      <c r="MX19" s="338"/>
    </row>
    <row r="20" spans="1:363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1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1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6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6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2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8" t="s">
        <v>2038</v>
      </c>
      <c r="MC20" s="49">
        <v>22</v>
      </c>
      <c r="MD20" s="289">
        <v>192856</v>
      </c>
      <c r="ME20" s="44" t="s">
        <v>2039</v>
      </c>
      <c r="MF20" s="329" t="s">
        <v>2091</v>
      </c>
      <c r="MG20" s="49">
        <v>1.7</v>
      </c>
      <c r="MH20" s="328" t="s">
        <v>2040</v>
      </c>
      <c r="MI20" s="49">
        <f>5+10</f>
        <v>15</v>
      </c>
      <c r="MJ20" s="55" t="s">
        <v>1728</v>
      </c>
      <c r="MK20" s="100">
        <v>-477</v>
      </c>
      <c r="ML20" s="331"/>
      <c r="MM20" s="330"/>
      <c r="MN20" s="328" t="s">
        <v>3427</v>
      </c>
      <c r="MO20" s="49">
        <f>20+20+20</f>
        <v>60</v>
      </c>
      <c r="MP20" s="55" t="s">
        <v>1728</v>
      </c>
      <c r="MQ20" s="100">
        <v>-1735</v>
      </c>
      <c r="MR20" s="590" t="s">
        <v>3460</v>
      </c>
      <c r="MS20" s="330">
        <v>1275.27</v>
      </c>
      <c r="MT20" s="608" t="s">
        <v>3439</v>
      </c>
      <c r="MU20" s="49"/>
      <c r="MV20" s="603" t="s">
        <v>1728</v>
      </c>
      <c r="MW20" s="100">
        <v>-1735</v>
      </c>
      <c r="MX20" s="338">
        <v>45470</v>
      </c>
      <c r="MY20" s="100"/>
    </row>
    <row r="21" spans="1:363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75" t="s">
        <v>330</v>
      </c>
      <c r="N21" s="675"/>
      <c r="Q21" s="64" t="s">
        <v>355</v>
      </c>
      <c r="S21" s="675" t="s">
        <v>330</v>
      </c>
      <c r="T21" s="675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657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6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6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30">
        <f>74.6+18.65</f>
        <v>93.25</v>
      </c>
      <c r="MB21" s="328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8" t="s">
        <v>3432</v>
      </c>
      <c r="MI21" s="316">
        <v>2679.34</v>
      </c>
      <c r="MJ21" s="71" t="s">
        <v>1788</v>
      </c>
      <c r="MK21" s="173">
        <v>30</v>
      </c>
      <c r="ML21" s="331"/>
      <c r="MM21" s="330"/>
      <c r="MN21" s="328" t="s">
        <v>3426</v>
      </c>
      <c r="MO21" s="49">
        <f>4+5+10</f>
        <v>19</v>
      </c>
      <c r="MP21" s="71" t="s">
        <v>1788</v>
      </c>
      <c r="MQ21" s="588">
        <v>-20</v>
      </c>
      <c r="MR21" s="331"/>
      <c r="MS21" s="330"/>
      <c r="MT21" s="608" t="s">
        <v>3439</v>
      </c>
      <c r="MU21" s="49"/>
      <c r="MV21" s="606" t="s">
        <v>1788</v>
      </c>
      <c r="MW21" s="589">
        <v>10.000999999999999</v>
      </c>
      <c r="MX21" s="684" t="s">
        <v>3456</v>
      </c>
      <c r="MY21" s="589"/>
    </row>
    <row r="22" spans="1:363">
      <c r="A22" s="21"/>
      <c r="B22" s="61"/>
      <c r="E22" s="565" t="s">
        <v>395</v>
      </c>
      <c r="F22" s="64"/>
      <c r="G22" s="21"/>
      <c r="H22" s="61"/>
      <c r="K22" s="72" t="s">
        <v>1680</v>
      </c>
      <c r="L22" s="14">
        <v>0</v>
      </c>
      <c r="M22" s="661" t="s">
        <v>2092</v>
      </c>
      <c r="N22" s="661"/>
      <c r="Q22" s="64" t="s">
        <v>364</v>
      </c>
      <c r="S22" s="661" t="s">
        <v>2092</v>
      </c>
      <c r="T22" s="661"/>
      <c r="W22" s="72" t="s">
        <v>1737</v>
      </c>
      <c r="X22" s="14">
        <v>0</v>
      </c>
      <c r="Y22" s="675" t="s">
        <v>330</v>
      </c>
      <c r="Z22" s="675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657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6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6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60" t="s">
        <v>2118</v>
      </c>
      <c r="IU22" s="660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8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8" t="s">
        <v>2139</v>
      </c>
      <c r="MI22" s="316">
        <v>468.82</v>
      </c>
      <c r="MJ22" s="67" t="s">
        <v>1846</v>
      </c>
      <c r="MK22" s="51">
        <f>MJ23-0.99*195000</f>
        <v>-615</v>
      </c>
      <c r="ML22" s="331"/>
      <c r="MM22" s="330"/>
      <c r="MN22" s="328" t="s">
        <v>2239</v>
      </c>
      <c r="MO22" s="615">
        <v>1593.84</v>
      </c>
      <c r="MP22" s="67" t="s">
        <v>1846</v>
      </c>
      <c r="MQ22" s="51">
        <f>MP23-0.99*195000</f>
        <v>-1461</v>
      </c>
      <c r="MR22" s="331"/>
      <c r="MS22" s="330"/>
      <c r="MT22" s="608" t="s">
        <v>3449</v>
      </c>
      <c r="MU22" s="49"/>
      <c r="MV22" s="602" t="s">
        <v>1846</v>
      </c>
      <c r="MW22" s="51">
        <f>MV23-0.99*195000</f>
        <v>-1461</v>
      </c>
    </row>
    <row r="23" spans="1:363">
      <c r="A23" s="675" t="s">
        <v>330</v>
      </c>
      <c r="B23" s="675"/>
      <c r="E23" s="567" t="s">
        <v>402</v>
      </c>
      <c r="F23" s="64"/>
      <c r="G23" s="675" t="s">
        <v>330</v>
      </c>
      <c r="H23" s="675"/>
      <c r="K23" s="72" t="s">
        <v>1737</v>
      </c>
      <c r="L23" s="14">
        <v>0</v>
      </c>
      <c r="M23" s="667"/>
      <c r="N23" s="667"/>
      <c r="Q23" s="64" t="s">
        <v>1917</v>
      </c>
      <c r="S23" s="667"/>
      <c r="T23" s="667"/>
      <c r="W23" s="72" t="s">
        <v>1518</v>
      </c>
      <c r="X23" s="67">
        <v>0</v>
      </c>
      <c r="Y23" s="661" t="s">
        <v>2092</v>
      </c>
      <c r="Z23" s="661"/>
      <c r="AE23" s="675" t="s">
        <v>330</v>
      </c>
      <c r="AF23" s="675"/>
      <c r="AK23" s="675" t="s">
        <v>330</v>
      </c>
      <c r="AL23" s="675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672" t="s">
        <v>2150</v>
      </c>
      <c r="EF23" s="672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657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657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6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6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60" t="s">
        <v>2118</v>
      </c>
      <c r="HK23" s="660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60" t="s">
        <v>2118</v>
      </c>
      <c r="HW23" s="660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8" t="s">
        <v>2181</v>
      </c>
      <c r="MC23" s="49">
        <v>39.4</v>
      </c>
      <c r="MD23" s="69" t="s">
        <v>1597</v>
      </c>
      <c r="ME23" s="239">
        <v>608</v>
      </c>
      <c r="MF23" s="327" t="s">
        <v>2182</v>
      </c>
      <c r="MG23" s="49">
        <v>110.7</v>
      </c>
      <c r="MH23" s="328" t="s">
        <v>2183</v>
      </c>
      <c r="MI23" s="49">
        <v>22.15</v>
      </c>
      <c r="MJ23" s="289">
        <v>192435</v>
      </c>
      <c r="MK23" s="44" t="s">
        <v>2039</v>
      </c>
      <c r="ML23" s="331"/>
      <c r="MM23" s="330"/>
      <c r="MN23" s="328" t="s">
        <v>3417</v>
      </c>
      <c r="MO23" s="49">
        <f>92.34+4</f>
        <v>96.34</v>
      </c>
      <c r="MP23" s="289">
        <v>191589</v>
      </c>
      <c r="MQ23" s="44" t="s">
        <v>2039</v>
      </c>
      <c r="MR23" s="331"/>
      <c r="MS23" s="330"/>
      <c r="MT23" s="608" t="s">
        <v>3439</v>
      </c>
      <c r="MU23" s="49"/>
      <c r="MV23" s="289">
        <v>191589</v>
      </c>
      <c r="MW23" s="44" t="s">
        <v>2039</v>
      </c>
      <c r="MX23" s="338">
        <v>45470</v>
      </c>
      <c r="MY23" s="289"/>
    </row>
    <row r="24" spans="1:363">
      <c r="A24" s="661" t="s">
        <v>2092</v>
      </c>
      <c r="B24" s="661"/>
      <c r="E24" s="567" t="s">
        <v>271</v>
      </c>
      <c r="F24" s="64"/>
      <c r="G24" s="661" t="s">
        <v>2092</v>
      </c>
      <c r="H24" s="661"/>
      <c r="K24" s="72" t="s">
        <v>1518</v>
      </c>
      <c r="L24" s="67">
        <v>0</v>
      </c>
      <c r="M24" s="667"/>
      <c r="N24" s="667"/>
      <c r="Q24" s="72" t="s">
        <v>1617</v>
      </c>
      <c r="R24" s="14">
        <v>0</v>
      </c>
      <c r="S24" s="667"/>
      <c r="T24" s="667"/>
      <c r="W24" s="72" t="s">
        <v>2184</v>
      </c>
      <c r="X24" s="14">
        <v>910.17</v>
      </c>
      <c r="Y24" s="667"/>
      <c r="Z24" s="667"/>
      <c r="AC24" s="79" t="s">
        <v>2185</v>
      </c>
      <c r="AD24" s="14">
        <v>90</v>
      </c>
      <c r="AE24" s="661" t="s">
        <v>2092</v>
      </c>
      <c r="AF24" s="661"/>
      <c r="AI24" s="78" t="s">
        <v>2186</v>
      </c>
      <c r="AJ24" s="14">
        <v>30</v>
      </c>
      <c r="AK24" s="661" t="s">
        <v>2092</v>
      </c>
      <c r="AL24" s="661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61"/>
      <c r="BH24" s="661"/>
      <c r="BK24" s="95" t="s">
        <v>2188</v>
      </c>
      <c r="BL24" s="67">
        <v>48.54</v>
      </c>
      <c r="BM24" s="661"/>
      <c r="BN24" s="661"/>
      <c r="BQ24" s="95" t="s">
        <v>1919</v>
      </c>
      <c r="BR24" s="67">
        <v>50.15</v>
      </c>
      <c r="BS24" s="661" t="s">
        <v>2189</v>
      </c>
      <c r="BT24" s="661"/>
      <c r="BW24" s="95" t="s">
        <v>1919</v>
      </c>
      <c r="BX24" s="67">
        <v>48.54</v>
      </c>
      <c r="BY24" s="661"/>
      <c r="BZ24" s="661"/>
      <c r="CC24" s="95" t="s">
        <v>1919</v>
      </c>
      <c r="CD24" s="67">
        <v>142.91</v>
      </c>
      <c r="CE24" s="661"/>
      <c r="CF24" s="661"/>
      <c r="CI24" s="95" t="s">
        <v>2190</v>
      </c>
      <c r="CJ24" s="67">
        <v>35.049999999999997</v>
      </c>
      <c r="CK24" s="667"/>
      <c r="CL24" s="667"/>
      <c r="CO24" s="95" t="s">
        <v>1867</v>
      </c>
      <c r="CP24" s="67">
        <v>153.41</v>
      </c>
      <c r="CQ24" s="667" t="s">
        <v>2191</v>
      </c>
      <c r="CR24" s="667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657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8" t="s">
        <v>2237</v>
      </c>
      <c r="MC24" s="49">
        <f>17.9+2.5</f>
        <v>20.399999999999999</v>
      </c>
      <c r="MD24" s="69" t="s">
        <v>2133</v>
      </c>
      <c r="ME24" s="51">
        <v>10</v>
      </c>
      <c r="MF24" s="331"/>
      <c r="MG24" s="330"/>
      <c r="MH24" s="328" t="s">
        <v>2238</v>
      </c>
      <c r="MI24" s="49">
        <v>35.82</v>
      </c>
      <c r="MJ24" s="67" t="s">
        <v>2088</v>
      </c>
      <c r="MK24" s="51">
        <v>2600</v>
      </c>
      <c r="ML24" s="331"/>
      <c r="MM24" s="330"/>
      <c r="MN24" s="328" t="s">
        <v>2583</v>
      </c>
      <c r="MO24" s="49">
        <v>80</v>
      </c>
      <c r="MP24" s="67" t="s">
        <v>2088</v>
      </c>
      <c r="MQ24" s="51">
        <v>2600</v>
      </c>
      <c r="MR24" s="331"/>
      <c r="MS24" s="330"/>
      <c r="MT24" s="608" t="s">
        <v>3439</v>
      </c>
      <c r="MU24" s="49"/>
      <c r="MV24" s="602" t="s">
        <v>2088</v>
      </c>
      <c r="MW24" s="51">
        <v>2600</v>
      </c>
      <c r="MX24" s="338">
        <v>45470</v>
      </c>
      <c r="MY24" s="51"/>
    </row>
    <row r="25" spans="1:363">
      <c r="A25" s="667"/>
      <c r="B25" s="667"/>
      <c r="E25" s="566" t="s">
        <v>386</v>
      </c>
      <c r="F25" s="59"/>
      <c r="G25" s="667"/>
      <c r="H25" s="667"/>
      <c r="K25" s="72" t="s">
        <v>2240</v>
      </c>
      <c r="L25" s="14">
        <f>910+40</f>
        <v>950</v>
      </c>
      <c r="M25" s="667"/>
      <c r="N25" s="667"/>
      <c r="Q25" s="72" t="s">
        <v>1680</v>
      </c>
      <c r="R25" s="14">
        <v>0</v>
      </c>
      <c r="S25" s="667"/>
      <c r="T25" s="667"/>
      <c r="W25" s="73" t="s">
        <v>2241</v>
      </c>
      <c r="X25" s="14">
        <v>110.58</v>
      </c>
      <c r="Y25" s="667"/>
      <c r="Z25" s="667"/>
      <c r="AE25" s="667"/>
      <c r="AF25" s="667"/>
      <c r="AK25" s="667"/>
      <c r="AL25" s="667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67"/>
      <c r="AX25" s="667"/>
      <c r="AY25" s="73"/>
      <c r="AZ25" s="67"/>
      <c r="BA25" s="667"/>
      <c r="BB25" s="667"/>
      <c r="BE25" s="73" t="s">
        <v>1547</v>
      </c>
      <c r="BF25" s="67">
        <f>6.5*2</f>
        <v>13</v>
      </c>
      <c r="BG25" s="667"/>
      <c r="BH25" s="667"/>
      <c r="BK25" s="95" t="s">
        <v>1547</v>
      </c>
      <c r="BL25" s="67">
        <f>6.5*2</f>
        <v>13</v>
      </c>
      <c r="BM25" s="667"/>
      <c r="BN25" s="667"/>
      <c r="BQ25" s="95" t="s">
        <v>1547</v>
      </c>
      <c r="BR25" s="67">
        <v>13</v>
      </c>
      <c r="BS25" s="667"/>
      <c r="BT25" s="667"/>
      <c r="BW25" s="95" t="s">
        <v>1547</v>
      </c>
      <c r="BX25" s="67">
        <v>13</v>
      </c>
      <c r="BY25" s="667"/>
      <c r="BZ25" s="667"/>
      <c r="CC25" s="95" t="s">
        <v>1547</v>
      </c>
      <c r="CD25" s="67">
        <v>13</v>
      </c>
      <c r="CE25" s="667"/>
      <c r="CF25" s="667"/>
      <c r="CI25" s="95" t="s">
        <v>1547</v>
      </c>
      <c r="CJ25" s="67">
        <v>13</v>
      </c>
      <c r="CK25" s="566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673" t="s">
        <v>2150</v>
      </c>
      <c r="DZ25" s="674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672" t="s">
        <v>2150</v>
      </c>
      <c r="ES25" s="672"/>
      <c r="ET25" s="55" t="s">
        <v>1811</v>
      </c>
      <c r="EU25" s="100">
        <v>20000</v>
      </c>
      <c r="EW25" s="657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60" t="s">
        <v>2118</v>
      </c>
      <c r="IC25" s="660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6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8" t="s">
        <v>2282</v>
      </c>
      <c r="MC25" s="49">
        <v>13.95</v>
      </c>
      <c r="MD25" s="55" t="s">
        <v>2177</v>
      </c>
      <c r="ME25" s="51">
        <v>130</v>
      </c>
      <c r="MF25" s="331"/>
      <c r="MG25" s="330"/>
      <c r="MH25" s="328" t="s">
        <v>2283</v>
      </c>
      <c r="MI25" s="49">
        <f>18.7+33.4</f>
        <v>52.099999999999994</v>
      </c>
      <c r="MJ25" s="69" t="s">
        <v>1528</v>
      </c>
      <c r="MK25" s="51">
        <v>734</v>
      </c>
      <c r="ML25" s="331"/>
      <c r="MM25" s="330"/>
      <c r="MN25" s="328" t="s">
        <v>2284</v>
      </c>
      <c r="MO25" s="49">
        <f>48.32+7.79</f>
        <v>56.11</v>
      </c>
      <c r="MP25" s="69" t="s">
        <v>1528</v>
      </c>
      <c r="MQ25" s="51">
        <v>652</v>
      </c>
      <c r="MR25" s="331"/>
      <c r="MS25" s="330"/>
      <c r="MT25" s="608" t="s">
        <v>3439</v>
      </c>
      <c r="MU25" s="49"/>
      <c r="MV25" s="605" t="s">
        <v>1528</v>
      </c>
      <c r="MW25" s="51">
        <v>635</v>
      </c>
      <c r="MX25" s="338">
        <v>45471</v>
      </c>
      <c r="MY25" s="51"/>
    </row>
    <row r="26" spans="1:363">
      <c r="A26" s="667"/>
      <c r="B26" s="667"/>
      <c r="F26" s="68"/>
      <c r="G26" s="667"/>
      <c r="H26" s="667"/>
      <c r="M26" s="671" t="s">
        <v>372</v>
      </c>
      <c r="N26" s="667"/>
      <c r="Q26" s="72" t="s">
        <v>1737</v>
      </c>
      <c r="R26" s="14">
        <v>0</v>
      </c>
      <c r="S26" s="671" t="s">
        <v>372</v>
      </c>
      <c r="T26" s="667"/>
      <c r="W26" s="73" t="s">
        <v>1919</v>
      </c>
      <c r="X26" s="14">
        <v>60.75</v>
      </c>
      <c r="Y26" s="667"/>
      <c r="Z26" s="667"/>
      <c r="AC26" s="21" t="s">
        <v>2285</v>
      </c>
      <c r="AD26" s="21"/>
      <c r="AE26" s="671" t="s">
        <v>372</v>
      </c>
      <c r="AF26" s="667"/>
      <c r="AI26" s="67" t="s">
        <v>2286</v>
      </c>
      <c r="AJ26" s="14">
        <v>210</v>
      </c>
      <c r="AK26" s="566" t="s">
        <v>372</v>
      </c>
      <c r="AL26" s="566" t="s">
        <v>372</v>
      </c>
      <c r="AO26" s="73" t="s">
        <v>2287</v>
      </c>
      <c r="AP26" s="67">
        <v>28.94</v>
      </c>
      <c r="AQ26" s="566" t="s">
        <v>372</v>
      </c>
      <c r="AR26" s="14"/>
      <c r="AU26" s="73" t="s">
        <v>2288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1987</v>
      </c>
      <c r="BF26" s="67">
        <v>155.44999999999999</v>
      </c>
      <c r="BG26" s="566" t="s">
        <v>372</v>
      </c>
      <c r="BH26" s="14"/>
      <c r="BK26" s="95" t="s">
        <v>1987</v>
      </c>
      <c r="BL26" s="67">
        <v>134.08000000000001</v>
      </c>
      <c r="BM26" s="566" t="s">
        <v>372</v>
      </c>
      <c r="BN26" s="14"/>
      <c r="BQ26" s="95" t="s">
        <v>1987</v>
      </c>
      <c r="BR26" s="67">
        <v>130.34</v>
      </c>
      <c r="BS26" s="566" t="s">
        <v>372</v>
      </c>
      <c r="BW26" s="95" t="s">
        <v>1987</v>
      </c>
      <c r="BX26" s="67">
        <v>138.9</v>
      </c>
      <c r="BY26" s="566" t="s">
        <v>372</v>
      </c>
      <c r="CC26" s="95" t="s">
        <v>1867</v>
      </c>
      <c r="CD26" s="67">
        <v>138.30000000000001</v>
      </c>
      <c r="CE26" s="566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6" t="s">
        <v>372</v>
      </c>
      <c r="CU26" s="109" t="s">
        <v>2290</v>
      </c>
      <c r="CV26" s="67">
        <f>16.33+8.5</f>
        <v>24.83</v>
      </c>
      <c r="CW26" s="117" t="s">
        <v>2291</v>
      </c>
      <c r="CX26" s="583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672" t="s">
        <v>2150</v>
      </c>
      <c r="EY26" s="672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6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60" t="s">
        <v>2118</v>
      </c>
      <c r="HQ26" s="660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8" t="s">
        <v>2330</v>
      </c>
      <c r="MC26" s="49">
        <v>45.4</v>
      </c>
      <c r="MD26" s="71" t="s">
        <v>2071</v>
      </c>
      <c r="ME26" s="51">
        <v>1000</v>
      </c>
      <c r="MF26" s="331"/>
      <c r="MG26" s="330"/>
      <c r="MH26" s="328" t="s">
        <v>2331</v>
      </c>
      <c r="MI26" s="49">
        <v>38.97</v>
      </c>
      <c r="MJ26" s="69" t="s">
        <v>1597</v>
      </c>
      <c r="MK26" s="239">
        <v>1255</v>
      </c>
      <c r="ML26" s="331"/>
      <c r="MM26" s="330"/>
      <c r="MN26" s="328" t="s">
        <v>2332</v>
      </c>
      <c r="MO26" s="49">
        <v>60.79</v>
      </c>
      <c r="MP26" s="69" t="s">
        <v>1597</v>
      </c>
      <c r="MQ26" s="51">
        <v>1107</v>
      </c>
      <c r="MR26" s="331"/>
      <c r="MS26" s="330"/>
      <c r="MT26" s="608" t="s">
        <v>3439</v>
      </c>
      <c r="MU26" s="49"/>
      <c r="MV26" s="605" t="s">
        <v>1597</v>
      </c>
      <c r="MW26" s="51">
        <v>1923</v>
      </c>
      <c r="MX26" s="338">
        <v>45474</v>
      </c>
      <c r="MY26" s="51"/>
    </row>
    <row r="27" spans="1:363" ht="12.75" customHeight="1">
      <c r="A27" s="667"/>
      <c r="B27" s="667"/>
      <c r="E27" s="569" t="s">
        <v>418</v>
      </c>
      <c r="F27" s="68"/>
      <c r="G27" s="667"/>
      <c r="H27" s="667"/>
      <c r="K27" s="73" t="s">
        <v>2333</v>
      </c>
      <c r="L27" s="14">
        <f>60</f>
        <v>60</v>
      </c>
      <c r="M27" s="671" t="s">
        <v>2334</v>
      </c>
      <c r="N27" s="667"/>
      <c r="Q27" s="72" t="s">
        <v>2335</v>
      </c>
      <c r="R27" s="67">
        <v>200</v>
      </c>
      <c r="S27" s="671" t="s">
        <v>2334</v>
      </c>
      <c r="T27" s="667"/>
      <c r="W27" s="73" t="s">
        <v>1987</v>
      </c>
      <c r="X27" s="14">
        <v>61.35</v>
      </c>
      <c r="Y27" s="671" t="s">
        <v>372</v>
      </c>
      <c r="Z27" s="667"/>
      <c r="AC27" s="21" t="s">
        <v>2336</v>
      </c>
      <c r="AD27" s="21">
        <f>53+207+63</f>
        <v>323</v>
      </c>
      <c r="AE27" s="671" t="s">
        <v>2334</v>
      </c>
      <c r="AF27" s="667"/>
      <c r="AI27" s="14" t="s">
        <v>2337</v>
      </c>
      <c r="AJ27" s="14">
        <f>299+19</f>
        <v>318</v>
      </c>
      <c r="AK27" s="566" t="s">
        <v>2334</v>
      </c>
      <c r="AL27" s="566" t="s">
        <v>2334</v>
      </c>
      <c r="AO27" s="73" t="s">
        <v>2338</v>
      </c>
      <c r="AP27" s="67">
        <v>43.86</v>
      </c>
      <c r="AQ27" s="566" t="s">
        <v>2334</v>
      </c>
      <c r="AR27" s="14"/>
      <c r="AU27" s="73" t="s">
        <v>2339</v>
      </c>
      <c r="AV27" s="67">
        <f>13+13</f>
        <v>26</v>
      </c>
      <c r="AW27" s="566" t="s">
        <v>2334</v>
      </c>
      <c r="AX27" s="14"/>
      <c r="AY27" s="73"/>
      <c r="AZ27" s="67"/>
      <c r="BA27" s="566" t="s">
        <v>2334</v>
      </c>
      <c r="BB27" s="14"/>
      <c r="BE27" s="73" t="s">
        <v>2340</v>
      </c>
      <c r="BF27" s="67" t="s">
        <v>663</v>
      </c>
      <c r="BG27" s="566" t="s">
        <v>2334</v>
      </c>
      <c r="BH27" s="14"/>
      <c r="BK27" s="95" t="s">
        <v>2340</v>
      </c>
      <c r="BL27" s="67">
        <v>11</v>
      </c>
      <c r="BM27" s="566" t="s">
        <v>2334</v>
      </c>
      <c r="BN27" s="14"/>
      <c r="BQ27" s="95" t="s">
        <v>2341</v>
      </c>
      <c r="BR27" s="67">
        <v>11</v>
      </c>
      <c r="BS27" s="566" t="s">
        <v>2334</v>
      </c>
      <c r="BW27" s="95" t="s">
        <v>2342</v>
      </c>
      <c r="BX27" s="67">
        <v>11</v>
      </c>
      <c r="BY27" s="566" t="s">
        <v>2334</v>
      </c>
      <c r="CC27" s="95" t="s">
        <v>2340</v>
      </c>
      <c r="CD27" s="67">
        <v>11</v>
      </c>
      <c r="CE27" s="566" t="s">
        <v>2334</v>
      </c>
      <c r="CI27" s="95" t="s">
        <v>2343</v>
      </c>
      <c r="CJ27" s="67">
        <v>53.24</v>
      </c>
      <c r="CK27" s="566" t="s">
        <v>2334</v>
      </c>
      <c r="CO27" s="95" t="s">
        <v>2093</v>
      </c>
      <c r="CP27" s="67">
        <v>100.001</v>
      </c>
      <c r="CQ27" s="566" t="s">
        <v>2334</v>
      </c>
      <c r="CU27" s="109" t="s">
        <v>2344</v>
      </c>
      <c r="CV27" s="50">
        <f>72+11+5.8</f>
        <v>88.8</v>
      </c>
      <c r="CW27" s="117" t="s">
        <v>2345</v>
      </c>
      <c r="CX27" s="583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672" t="s">
        <v>2356</v>
      </c>
      <c r="FE27" s="672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1"/>
      <c r="MG27" s="330"/>
      <c r="MH27" s="328" t="s">
        <v>2392</v>
      </c>
      <c r="MI27" s="49">
        <f>44+33.8</f>
        <v>77.8</v>
      </c>
      <c r="MJ27" s="69" t="s">
        <v>2133</v>
      </c>
      <c r="MK27" s="51">
        <v>10</v>
      </c>
      <c r="ML27" s="331"/>
      <c r="MM27" s="330"/>
      <c r="MN27" s="328" t="s">
        <v>2393</v>
      </c>
      <c r="MO27" s="49">
        <v>48.8</v>
      </c>
      <c r="MP27" s="69" t="s">
        <v>3431</v>
      </c>
      <c r="MQ27" s="51">
        <v>10</v>
      </c>
      <c r="MR27" s="331"/>
      <c r="MS27" s="330"/>
      <c r="MT27" s="608" t="s">
        <v>3439</v>
      </c>
      <c r="MU27" s="49"/>
      <c r="MV27" s="605" t="s">
        <v>3431</v>
      </c>
      <c r="MW27" s="51">
        <v>10</v>
      </c>
      <c r="MX27" s="338">
        <v>45468</v>
      </c>
    </row>
    <row r="28" spans="1:363">
      <c r="A28" s="671" t="s">
        <v>372</v>
      </c>
      <c r="B28" s="667"/>
      <c r="E28" s="569" t="s">
        <v>427</v>
      </c>
      <c r="F28" s="68"/>
      <c r="G28" s="671" t="s">
        <v>372</v>
      </c>
      <c r="H28" s="667"/>
      <c r="K28" s="73" t="s">
        <v>1987</v>
      </c>
      <c r="L28" s="14">
        <v>0</v>
      </c>
      <c r="M28" s="656" t="s">
        <v>197</v>
      </c>
      <c r="N28" s="656"/>
      <c r="Q28" s="72" t="s">
        <v>2184</v>
      </c>
      <c r="R28" s="14">
        <v>0</v>
      </c>
      <c r="S28" s="656" t="s">
        <v>197</v>
      </c>
      <c r="T28" s="656"/>
      <c r="W28" s="73" t="s">
        <v>2042</v>
      </c>
      <c r="X28" s="14">
        <v>64</v>
      </c>
      <c r="Y28" s="671" t="s">
        <v>2334</v>
      </c>
      <c r="Z28" s="667"/>
      <c r="AC28" s="21" t="s">
        <v>2394</v>
      </c>
      <c r="AD28" s="21">
        <f>63+46</f>
        <v>109</v>
      </c>
      <c r="AE28" s="656" t="s">
        <v>197</v>
      </c>
      <c r="AF28" s="656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672" t="s">
        <v>2150</v>
      </c>
      <c r="EM28" s="672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60" t="s">
        <v>2118</v>
      </c>
      <c r="JA28" s="660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1"/>
      <c r="MG28" s="330"/>
      <c r="MH28" s="328" t="s">
        <v>2444</v>
      </c>
      <c r="MI28" s="49">
        <v>8.9</v>
      </c>
      <c r="MJ28" s="337" t="s">
        <v>2177</v>
      </c>
      <c r="MK28" s="51">
        <v>90</v>
      </c>
      <c r="ML28" s="331"/>
      <c r="MM28" s="330"/>
      <c r="MN28" s="328" t="s">
        <v>2445</v>
      </c>
      <c r="MO28" s="339">
        <v>27</v>
      </c>
      <c r="MP28" s="55" t="s">
        <v>2177</v>
      </c>
      <c r="MQ28" s="51">
        <v>100</v>
      </c>
      <c r="MR28" s="321"/>
      <c r="MS28" s="321"/>
      <c r="MT28" s="608" t="s">
        <v>3439</v>
      </c>
      <c r="MU28" s="49"/>
      <c r="MV28" s="603" t="s">
        <v>2177</v>
      </c>
      <c r="MW28" s="51">
        <v>100</v>
      </c>
      <c r="MX28" s="338">
        <v>45470</v>
      </c>
    </row>
    <row r="29" spans="1:363">
      <c r="A29" s="671" t="s">
        <v>2334</v>
      </c>
      <c r="B29" s="667"/>
      <c r="E29" s="569" t="s">
        <v>431</v>
      </c>
      <c r="F29" s="68"/>
      <c r="G29" s="671" t="s">
        <v>2334</v>
      </c>
      <c r="H29" s="667"/>
      <c r="K29" s="73" t="s">
        <v>2042</v>
      </c>
      <c r="L29" s="14">
        <v>64</v>
      </c>
      <c r="M29" s="667" t="s">
        <v>300</v>
      </c>
      <c r="N29" s="667"/>
      <c r="S29" s="667" t="s">
        <v>300</v>
      </c>
      <c r="T29" s="667"/>
      <c r="W29" s="73" t="s">
        <v>2093</v>
      </c>
      <c r="X29" s="14">
        <v>100.01</v>
      </c>
      <c r="Y29" s="656" t="s">
        <v>197</v>
      </c>
      <c r="Z29" s="656"/>
      <c r="AC29" s="14" t="s">
        <v>2446</v>
      </c>
      <c r="AD29" s="14">
        <v>65</v>
      </c>
      <c r="AE29" s="667" t="s">
        <v>300</v>
      </c>
      <c r="AF29" s="667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6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672" t="s">
        <v>2356</v>
      </c>
      <c r="FK29" s="672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1"/>
      <c r="MG29" s="330"/>
      <c r="MH29" s="328" t="s">
        <v>2488</v>
      </c>
      <c r="MI29" s="49">
        <v>21.2</v>
      </c>
      <c r="MJ29" s="71" t="s">
        <v>2071</v>
      </c>
      <c r="MK29" s="51">
        <v>1000</v>
      </c>
      <c r="ML29" s="331"/>
      <c r="MM29" s="330"/>
      <c r="MN29" s="328" t="s">
        <v>3413</v>
      </c>
      <c r="MO29" s="49">
        <f>12.97+9</f>
        <v>21.97</v>
      </c>
      <c r="MP29" s="71" t="s">
        <v>2071</v>
      </c>
      <c r="MQ29" s="51">
        <v>1000</v>
      </c>
      <c r="MR29" s="598" t="s">
        <v>2222</v>
      </c>
      <c r="MS29" s="313"/>
      <c r="MT29" s="608" t="s">
        <v>3439</v>
      </c>
      <c r="MU29" s="49"/>
      <c r="MV29" s="606" t="s">
        <v>2071</v>
      </c>
      <c r="MW29" s="51">
        <v>101764</v>
      </c>
      <c r="MX29" s="49" t="s">
        <v>3454</v>
      </c>
    </row>
    <row r="30" spans="1:363">
      <c r="A30" s="656" t="s">
        <v>197</v>
      </c>
      <c r="B30" s="656"/>
      <c r="E30" s="569" t="s">
        <v>2489</v>
      </c>
      <c r="F30" s="59"/>
      <c r="G30" s="656" t="s">
        <v>197</v>
      </c>
      <c r="H30" s="656"/>
      <c r="K30" s="73" t="s">
        <v>2093</v>
      </c>
      <c r="L30" s="14">
        <v>50.01</v>
      </c>
      <c r="M30" s="668" t="s">
        <v>2490</v>
      </c>
      <c r="N30" s="668"/>
      <c r="Q30" s="73" t="s">
        <v>1855</v>
      </c>
      <c r="R30" s="14">
        <v>26</v>
      </c>
      <c r="S30" s="668" t="s">
        <v>2490</v>
      </c>
      <c r="T30" s="668"/>
      <c r="Y30" s="667" t="s">
        <v>300</v>
      </c>
      <c r="Z30" s="667"/>
      <c r="AC30" s="14" t="s">
        <v>2491</v>
      </c>
      <c r="AD30" s="14">
        <v>10</v>
      </c>
      <c r="AE30" s="668" t="s">
        <v>2490</v>
      </c>
      <c r="AF30" s="668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6" t="s">
        <v>2334</v>
      </c>
      <c r="CX30" s="106"/>
      <c r="DA30" s="124" t="s">
        <v>2497</v>
      </c>
      <c r="DB30" s="67">
        <v>28</v>
      </c>
      <c r="DC30" s="566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1"/>
      <c r="MG30" s="330"/>
      <c r="MH30" s="328" t="s">
        <v>2539</v>
      </c>
      <c r="MI30" s="49">
        <v>12.9</v>
      </c>
      <c r="MJ30" s="214">
        <v>2382</v>
      </c>
      <c r="MK30" s="51" t="s">
        <v>2391</v>
      </c>
      <c r="ML30" s="331"/>
      <c r="MM30" s="330"/>
      <c r="MN30" s="328" t="s">
        <v>3412</v>
      </c>
      <c r="MO30" s="49">
        <v>34</v>
      </c>
      <c r="MP30" s="340">
        <v>1453</v>
      </c>
      <c r="MQ30" s="286" t="s">
        <v>1277</v>
      </c>
      <c r="MR30" s="332" t="s">
        <v>1200</v>
      </c>
      <c r="MS30" s="63">
        <f>SUM(MU6:MU7)</f>
        <v>0</v>
      </c>
      <c r="MT30" s="608" t="s">
        <v>3439</v>
      </c>
      <c r="MU30" s="49"/>
      <c r="MV30" s="340">
        <v>1453</v>
      </c>
      <c r="MW30" s="286" t="s">
        <v>1277</v>
      </c>
      <c r="MX30" s="24">
        <v>45474</v>
      </c>
      <c r="MY30" s="44"/>
    </row>
    <row r="31" spans="1:363" ht="12.75" customHeight="1">
      <c r="A31" s="667" t="s">
        <v>300</v>
      </c>
      <c r="B31" s="667"/>
      <c r="E31" s="59"/>
      <c r="F31" s="59"/>
      <c r="G31" s="667" t="s">
        <v>300</v>
      </c>
      <c r="H31" s="667"/>
      <c r="M31" s="661" t="s">
        <v>363</v>
      </c>
      <c r="N31" s="661"/>
      <c r="Q31" s="73" t="s">
        <v>1919</v>
      </c>
      <c r="R31" s="14">
        <v>55</v>
      </c>
      <c r="S31" s="661" t="s">
        <v>363</v>
      </c>
      <c r="T31" s="661"/>
      <c r="W31" s="74" t="s">
        <v>2540</v>
      </c>
      <c r="X31" s="74">
        <v>0</v>
      </c>
      <c r="Y31" s="668" t="s">
        <v>2490</v>
      </c>
      <c r="Z31" s="668"/>
      <c r="AE31" s="661" t="s">
        <v>363</v>
      </c>
      <c r="AF31" s="661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6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666" t="s">
        <v>2549</v>
      </c>
      <c r="DP31" s="666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1"/>
      <c r="MG31" s="330"/>
      <c r="MH31" s="328" t="s">
        <v>2587</v>
      </c>
      <c r="MI31" s="49">
        <v>50.74</v>
      </c>
      <c r="MJ31" s="214">
        <v>0</v>
      </c>
      <c r="MK31" s="51" t="s">
        <v>2443</v>
      </c>
      <c r="ML31" s="331"/>
      <c r="MM31" s="330"/>
      <c r="MN31" s="328" t="s">
        <v>3418</v>
      </c>
      <c r="MO31" s="49">
        <v>8.8000000000000007</v>
      </c>
      <c r="MP31" s="214">
        <v>0</v>
      </c>
      <c r="MQ31" s="51" t="s">
        <v>2443</v>
      </c>
      <c r="MR31" s="161" t="s">
        <v>2588</v>
      </c>
      <c r="MS31" s="63">
        <f>SUM(MU8:MU8)</f>
        <v>0</v>
      </c>
      <c r="MT31" s="608" t="s">
        <v>3439</v>
      </c>
      <c r="MU31" s="49"/>
      <c r="MV31" s="214">
        <v>0</v>
      </c>
      <c r="MW31" s="51" t="s">
        <v>2443</v>
      </c>
    </row>
    <row r="32" spans="1:363">
      <c r="A32" s="668" t="s">
        <v>2490</v>
      </c>
      <c r="B32" s="668"/>
      <c r="C32" s="70"/>
      <c r="D32" s="70"/>
      <c r="E32" s="70"/>
      <c r="F32" s="70"/>
      <c r="G32" s="668" t="s">
        <v>2490</v>
      </c>
      <c r="H32" s="668"/>
      <c r="K32" s="74" t="s">
        <v>2589</v>
      </c>
      <c r="L32" s="74"/>
      <c r="M32" s="662" t="s">
        <v>2574</v>
      </c>
      <c r="N32" s="662"/>
      <c r="Q32" s="73" t="s">
        <v>1987</v>
      </c>
      <c r="R32" s="14">
        <v>77.239999999999995</v>
      </c>
      <c r="S32" s="662" t="s">
        <v>2574</v>
      </c>
      <c r="T32" s="662"/>
      <c r="Y32" s="661" t="s">
        <v>363</v>
      </c>
      <c r="Z32" s="661"/>
      <c r="AC32" s="576" t="s">
        <v>1395</v>
      </c>
      <c r="AD32" s="14">
        <v>350</v>
      </c>
      <c r="AE32" s="662" t="s">
        <v>2574</v>
      </c>
      <c r="AF32" s="662"/>
      <c r="AI32" s="576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669" t="s">
        <v>2478</v>
      </c>
      <c r="DB32" s="670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60" t="s">
        <v>2118</v>
      </c>
      <c r="IO32" s="660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1"/>
      <c r="MG32" s="330"/>
      <c r="MH32" s="328" t="s">
        <v>2638</v>
      </c>
      <c r="MI32" s="49">
        <f>17.1+17.1</f>
        <v>34.200000000000003</v>
      </c>
      <c r="MJ32" s="75" t="s">
        <v>2219</v>
      </c>
      <c r="MK32" s="49"/>
      <c r="ML32" s="331"/>
      <c r="MM32" s="330"/>
      <c r="MN32" s="328" t="s">
        <v>3421</v>
      </c>
      <c r="MO32" s="49">
        <f>19.69+33.2</f>
        <v>52.89</v>
      </c>
      <c r="MP32" s="75"/>
      <c r="MQ32" s="49"/>
      <c r="MR32" s="50" t="s">
        <v>2631</v>
      </c>
      <c r="MS32" s="49">
        <f>SUM(MU9:MU9)</f>
        <v>0</v>
      </c>
      <c r="MT32" s="609" t="s">
        <v>1518</v>
      </c>
      <c r="MU32" s="63"/>
      <c r="MV32" s="604" t="s">
        <v>2219</v>
      </c>
      <c r="MW32" s="49"/>
    </row>
    <row r="33" spans="1:363">
      <c r="A33" s="661" t="s">
        <v>363</v>
      </c>
      <c r="B33" s="661"/>
      <c r="E33" s="577" t="s">
        <v>455</v>
      </c>
      <c r="F33" s="59"/>
      <c r="G33" s="661" t="s">
        <v>363</v>
      </c>
      <c r="H33" s="661"/>
      <c r="K33" s="74" t="s">
        <v>2640</v>
      </c>
      <c r="L33" s="74">
        <v>652</v>
      </c>
      <c r="Q33" s="73" t="s">
        <v>2042</v>
      </c>
      <c r="R33" s="14">
        <v>32</v>
      </c>
      <c r="W33" s="78" t="s">
        <v>2641</v>
      </c>
      <c r="X33" s="78">
        <v>283</v>
      </c>
      <c r="Y33" s="662" t="s">
        <v>2574</v>
      </c>
      <c r="Z33" s="662"/>
      <c r="AC33" s="566" t="s">
        <v>2642</v>
      </c>
      <c r="AD33" s="14">
        <v>100</v>
      </c>
      <c r="AI33" s="566" t="s">
        <v>2642</v>
      </c>
      <c r="AJ33" s="14">
        <v>200</v>
      </c>
      <c r="AO33" s="84" t="s">
        <v>2643</v>
      </c>
      <c r="AP33" s="14">
        <f>242+12+489</f>
        <v>743</v>
      </c>
      <c r="AU33" s="84" t="s">
        <v>2644</v>
      </c>
      <c r="AV33" s="14">
        <v>24</v>
      </c>
      <c r="AY33" s="84"/>
      <c r="BE33" s="84" t="s">
        <v>2645</v>
      </c>
      <c r="BF33" s="14">
        <v>18</v>
      </c>
      <c r="BK33" s="50" t="s">
        <v>2646</v>
      </c>
      <c r="BL33" s="50" t="s">
        <v>2592</v>
      </c>
      <c r="BQ33" s="50" t="s">
        <v>2647</v>
      </c>
      <c r="BR33" s="50" t="s">
        <v>2592</v>
      </c>
      <c r="BW33" s="50" t="s">
        <v>2648</v>
      </c>
      <c r="BX33" s="50" t="s">
        <v>2649</v>
      </c>
      <c r="CC33" s="96" t="s">
        <v>2650</v>
      </c>
      <c r="CD33" s="50">
        <v>171.4</v>
      </c>
      <c r="CI33" s="109" t="s">
        <v>2651</v>
      </c>
      <c r="CJ33" s="50">
        <v>44</v>
      </c>
      <c r="CO33" s="50" t="s">
        <v>2652</v>
      </c>
      <c r="CP33" s="50">
        <v>24</v>
      </c>
      <c r="CU33" s="50" t="s">
        <v>2653</v>
      </c>
      <c r="CV33" s="50">
        <v>318</v>
      </c>
      <c r="CW33" s="83" t="s">
        <v>2490</v>
      </c>
      <c r="DA33" s="128" t="s">
        <v>2654</v>
      </c>
      <c r="DB33" s="128">
        <v>300</v>
      </c>
      <c r="DC33" s="14" t="s">
        <v>2447</v>
      </c>
      <c r="DD33" s="107"/>
      <c r="DE33" s="67" t="s">
        <v>2655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2656</v>
      </c>
      <c r="DN33" s="63">
        <v>10</v>
      </c>
      <c r="DP33" s="62"/>
      <c r="DS33" s="124" t="s">
        <v>2657</v>
      </c>
      <c r="DT33" s="52">
        <v>11.41</v>
      </c>
      <c r="DU33" s="117" t="s">
        <v>2658</v>
      </c>
      <c r="DV33" s="117">
        <v>214</v>
      </c>
      <c r="DY33" s="14" t="s">
        <v>2659</v>
      </c>
      <c r="DZ33" s="14">
        <f>55.46-17.24</f>
        <v>38.22</v>
      </c>
      <c r="EA33" s="566" t="s">
        <v>372</v>
      </c>
      <c r="EE33" s="14" t="s">
        <v>2660</v>
      </c>
      <c r="EF33" s="14">
        <v>10.77</v>
      </c>
      <c r="EH33" s="14" t="s">
        <v>2447</v>
      </c>
      <c r="EL33" s="21" t="s">
        <v>2661</v>
      </c>
      <c r="EM33" s="21"/>
      <c r="EN33" s="14" t="s">
        <v>197</v>
      </c>
      <c r="ER33" s="21" t="s">
        <v>2662</v>
      </c>
      <c r="ES33" s="21"/>
      <c r="EX33" s="156" t="s">
        <v>2663</v>
      </c>
      <c r="EY33" s="158"/>
      <c r="EZ33" s="83" t="s">
        <v>2299</v>
      </c>
      <c r="FA33" s="103" t="s">
        <v>646</v>
      </c>
      <c r="FD33" s="156" t="s">
        <v>2664</v>
      </c>
      <c r="FE33" s="21"/>
      <c r="FF33" s="83" t="s">
        <v>2299</v>
      </c>
      <c r="FG33" s="103" t="s">
        <v>646</v>
      </c>
      <c r="FJ33" s="156" t="s">
        <v>2665</v>
      </c>
      <c r="FK33" s="158"/>
      <c r="FL33" s="55" t="s">
        <v>1806</v>
      </c>
      <c r="FM33" s="100">
        <v>10010</v>
      </c>
      <c r="FP33" s="153" t="s">
        <v>2666</v>
      </c>
      <c r="FQ33" s="14">
        <v>26.78</v>
      </c>
      <c r="FR33" s="75" t="s">
        <v>2667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2668</v>
      </c>
      <c r="GO33" s="14">
        <v>20</v>
      </c>
      <c r="GP33" s="75" t="s">
        <v>2669</v>
      </c>
      <c r="GQ33" s="103">
        <v>81</v>
      </c>
      <c r="GT33" s="178" t="s">
        <v>2356</v>
      </c>
      <c r="GU33" s="21"/>
      <c r="GV33" s="14" t="s">
        <v>372</v>
      </c>
      <c r="GZ33" s="153" t="s">
        <v>2670</v>
      </c>
      <c r="HA33" s="14">
        <v>31.78</v>
      </c>
      <c r="HB33" s="75" t="s">
        <v>2671</v>
      </c>
      <c r="HC33" s="107">
        <v>12.9</v>
      </c>
      <c r="HF33" s="182">
        <v>35</v>
      </c>
      <c r="HG33" s="190" t="s">
        <v>2672</v>
      </c>
      <c r="HH33" s="189" t="s">
        <v>2314</v>
      </c>
      <c r="HI33" s="199">
        <v>6.1</v>
      </c>
      <c r="HL33" s="204">
        <v>17</v>
      </c>
      <c r="HM33" s="156" t="s">
        <v>2673</v>
      </c>
      <c r="HP33" s="153" t="s">
        <v>2429</v>
      </c>
      <c r="HQ33" s="14">
        <f>SUM(HS24:HS29)</f>
        <v>160.6</v>
      </c>
      <c r="HR33" s="178" t="s">
        <v>2674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2675</v>
      </c>
      <c r="IE33" s="14">
        <v>30.01</v>
      </c>
      <c r="IH33" s="194"/>
      <c r="II33" s="212"/>
      <c r="IJ33" s="153" t="s">
        <v>2676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2677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2678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2679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2680</v>
      </c>
      <c r="KE33" s="51">
        <f>SUM(KG9:KG17)</f>
        <v>1038.25</v>
      </c>
      <c r="KF33" s="204">
        <v>30</v>
      </c>
      <c r="KG33" s="244" t="s">
        <v>2681</v>
      </c>
      <c r="KH33" s="75" t="s">
        <v>2682</v>
      </c>
      <c r="KI33" s="107">
        <v>52.8</v>
      </c>
      <c r="KL33" s="153" t="s">
        <v>2683</v>
      </c>
      <c r="KM33" s="107">
        <v>50.1</v>
      </c>
      <c r="KN33" s="75" t="s">
        <v>2684</v>
      </c>
      <c r="KO33" s="49">
        <v>16.3</v>
      </c>
      <c r="KR33" s="153" t="s">
        <v>2685</v>
      </c>
      <c r="KS33" s="107">
        <v>48.11</v>
      </c>
      <c r="KT33" s="75"/>
      <c r="KU33" s="49"/>
      <c r="KV33" s="67"/>
      <c r="KX33" s="153" t="s">
        <v>2686</v>
      </c>
      <c r="KY33" s="49">
        <v>40</v>
      </c>
      <c r="KZ33" s="71"/>
      <c r="LA33" s="49"/>
      <c r="LD33" s="153" t="s">
        <v>2687</v>
      </c>
      <c r="LE33" s="49">
        <v>40</v>
      </c>
      <c r="LF33" s="75" t="s">
        <v>2688</v>
      </c>
      <c r="LH33" s="161" t="s">
        <v>2689</v>
      </c>
      <c r="LI33" s="51">
        <f>SUM(LK10:LK16)</f>
        <v>1005.08</v>
      </c>
      <c r="LJ33" s="153" t="s">
        <v>2690</v>
      </c>
      <c r="LK33" s="107">
        <f>15.1+24.6</f>
        <v>39.700000000000003</v>
      </c>
      <c r="LL33" s="71" t="s">
        <v>2691</v>
      </c>
      <c r="LM33" s="49">
        <v>10184</v>
      </c>
      <c r="LN33" s="50" t="s">
        <v>2631</v>
      </c>
      <c r="LO33" s="315">
        <f>SUM(LQ13:LQ14)</f>
        <v>3219.09</v>
      </c>
      <c r="LP33" s="153" t="s">
        <v>2692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2693</v>
      </c>
      <c r="LW33" s="107">
        <v>16</v>
      </c>
      <c r="LX33" s="75" t="s">
        <v>2124</v>
      </c>
      <c r="LY33" s="49"/>
      <c r="LZ33" s="332" t="s">
        <v>1200</v>
      </c>
      <c r="MA33" s="63">
        <f>SUM(MC6:MC6)</f>
        <v>0</v>
      </c>
      <c r="MB33" s="121" t="s">
        <v>2694</v>
      </c>
      <c r="MC33" s="63">
        <v>69.2</v>
      </c>
      <c r="MF33" s="331"/>
      <c r="MG33" s="330"/>
      <c r="MH33" s="328" t="s">
        <v>2695</v>
      </c>
      <c r="MI33" s="49">
        <v>25.8</v>
      </c>
      <c r="ML33" s="321"/>
      <c r="MM33" s="321"/>
      <c r="MN33" s="328" t="s">
        <v>3425</v>
      </c>
      <c r="MO33" s="49">
        <v>8.3000000000000007</v>
      </c>
      <c r="MP33" s="591"/>
      <c r="MQ33" s="51"/>
      <c r="MR33" s="153" t="s">
        <v>2680</v>
      </c>
      <c r="MS33" s="49">
        <f>SUM(MU10:MU18)</f>
        <v>16.93</v>
      </c>
      <c r="MT33" s="610" t="s">
        <v>3440</v>
      </c>
      <c r="MU33" s="63"/>
      <c r="MV33" s="606" t="s">
        <v>3443</v>
      </c>
      <c r="MW33" s="51">
        <v>12000</v>
      </c>
    </row>
    <row r="34" spans="1:363">
      <c r="F34" s="59"/>
      <c r="K34" s="74" t="s">
        <v>2696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2697</v>
      </c>
      <c r="X34" s="78">
        <v>65</v>
      </c>
      <c r="AF34" s="14"/>
      <c r="AL34" s="14"/>
      <c r="AO34" s="85" t="s">
        <v>2698</v>
      </c>
      <c r="AP34" s="14">
        <v>50.28</v>
      </c>
      <c r="AR34" s="14"/>
      <c r="AX34" s="14"/>
      <c r="BB34" s="14"/>
      <c r="BE34" s="84" t="s">
        <v>2699</v>
      </c>
      <c r="BF34" s="14">
        <f>5+5</f>
        <v>10</v>
      </c>
      <c r="BG34" s="14" t="s">
        <v>2700</v>
      </c>
      <c r="BH34" s="14"/>
      <c r="BN34" s="14"/>
      <c r="BQ34" s="50" t="s">
        <v>2701</v>
      </c>
      <c r="BR34" s="50">
        <f>950+20+20+12</f>
        <v>1002</v>
      </c>
      <c r="BW34" s="50" t="s">
        <v>2702</v>
      </c>
      <c r="BX34" s="50" t="s">
        <v>2649</v>
      </c>
      <c r="CC34" s="50" t="s">
        <v>2703</v>
      </c>
      <c r="CD34" s="50">
        <v>72.5</v>
      </c>
      <c r="CO34" s="50" t="s">
        <v>2704</v>
      </c>
      <c r="CP34" s="90">
        <f>28.9+35</f>
        <v>63.9</v>
      </c>
      <c r="CV34" s="90"/>
      <c r="CW34" s="67"/>
      <c r="DA34" s="128" t="s">
        <v>2705</v>
      </c>
      <c r="DB34" s="128"/>
      <c r="DC34" s="83" t="s">
        <v>2490</v>
      </c>
      <c r="DE34" s="67" t="s">
        <v>2706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2707</v>
      </c>
      <c r="DN34" s="63">
        <v>42.37</v>
      </c>
      <c r="DO34" s="566" t="s">
        <v>372</v>
      </c>
      <c r="DS34" s="124" t="s">
        <v>2708</v>
      </c>
      <c r="DT34" s="63">
        <f>6.9+70.45</f>
        <v>77.350000000000009</v>
      </c>
      <c r="DV34" s="62"/>
      <c r="DY34" s="14" t="s">
        <v>2709</v>
      </c>
      <c r="DZ34" s="14">
        <v>60.2</v>
      </c>
      <c r="EA34" s="566" t="s">
        <v>2554</v>
      </c>
      <c r="EE34" s="14" t="s">
        <v>1694</v>
      </c>
      <c r="EF34" s="14">
        <v>113.2</v>
      </c>
      <c r="EH34" s="14" t="s">
        <v>2574</v>
      </c>
      <c r="EL34" s="21" t="s">
        <v>2664</v>
      </c>
      <c r="EM34" s="21"/>
      <c r="EN34" s="14" t="s">
        <v>2447</v>
      </c>
      <c r="ER34" s="21" t="s">
        <v>2710</v>
      </c>
      <c r="ES34" s="21"/>
      <c r="ET34" s="14" t="s">
        <v>372</v>
      </c>
      <c r="EX34" s="21"/>
      <c r="EY34" s="21"/>
      <c r="EZ34" s="75"/>
      <c r="FA34" s="97"/>
      <c r="FD34" s="55" t="s">
        <v>2711</v>
      </c>
      <c r="FE34" s="55"/>
      <c r="FF34" s="75" t="s">
        <v>2712</v>
      </c>
      <c r="FG34" s="63">
        <v>30</v>
      </c>
      <c r="FJ34" s="156" t="s">
        <v>2713</v>
      </c>
      <c r="FK34" s="21"/>
      <c r="FL34" s="55" t="s">
        <v>1868</v>
      </c>
      <c r="FM34" s="100" t="s">
        <v>1813</v>
      </c>
      <c r="FP34" s="153" t="s">
        <v>2714</v>
      </c>
      <c r="FQ34" s="14">
        <v>7</v>
      </c>
      <c r="FR34" s="75" t="s">
        <v>2715</v>
      </c>
      <c r="FS34" s="103">
        <v>-738</v>
      </c>
      <c r="FV34" s="156" t="s">
        <v>2716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2717</v>
      </c>
      <c r="GI34" s="158"/>
      <c r="GJ34" s="75" t="s">
        <v>2667</v>
      </c>
      <c r="GK34" s="103">
        <v>20</v>
      </c>
      <c r="GN34" s="153" t="s">
        <v>2718</v>
      </c>
      <c r="GO34" s="14">
        <v>23.9</v>
      </c>
      <c r="GP34" s="75" t="s">
        <v>2719</v>
      </c>
      <c r="GQ34" s="103">
        <v>298</v>
      </c>
      <c r="GT34" s="171">
        <v>280</v>
      </c>
      <c r="GU34" s="178"/>
      <c r="GV34" s="14" t="s">
        <v>2556</v>
      </c>
      <c r="GZ34" s="153" t="s">
        <v>2720</v>
      </c>
      <c r="HA34" s="14">
        <v>64.86</v>
      </c>
      <c r="HB34" s="75" t="s">
        <v>2671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2721</v>
      </c>
      <c r="HP34" s="153" t="s">
        <v>2513</v>
      </c>
      <c r="HR34" s="204">
        <v>4</v>
      </c>
      <c r="HS34" s="156" t="s">
        <v>2722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2723</v>
      </c>
      <c r="IE34" s="14">
        <v>40.840000000000003</v>
      </c>
      <c r="IF34" s="14" t="s">
        <v>372</v>
      </c>
      <c r="IH34" s="194"/>
      <c r="II34" s="212"/>
      <c r="IJ34" s="153" t="s">
        <v>2724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2725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2726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2727</v>
      </c>
      <c r="JR34" s="158" t="s">
        <v>2728</v>
      </c>
      <c r="JS34" s="171">
        <v>100</v>
      </c>
      <c r="JT34" s="204">
        <v>10</v>
      </c>
      <c r="JU34" s="244" t="s">
        <v>2729</v>
      </c>
      <c r="JZ34" s="153" t="s">
        <v>2730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2731</v>
      </c>
      <c r="KH34" s="75" t="s">
        <v>2732</v>
      </c>
      <c r="KI34" s="14">
        <v>104</v>
      </c>
      <c r="KL34" s="153" t="s">
        <v>2733</v>
      </c>
      <c r="KM34" s="107">
        <v>121.7</v>
      </c>
      <c r="KN34" s="75" t="s">
        <v>2734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2735</v>
      </c>
      <c r="KY34" s="49">
        <v>10</v>
      </c>
      <c r="KZ34" s="75" t="s">
        <v>2688</v>
      </c>
      <c r="LD34" s="153" t="s">
        <v>2736</v>
      </c>
      <c r="LE34" s="49">
        <f>530+3</f>
        <v>533</v>
      </c>
      <c r="LF34" s="75" t="s">
        <v>2737</v>
      </c>
      <c r="LH34" s="94" t="s">
        <v>2738</v>
      </c>
      <c r="LI34" s="240">
        <f>SUM(LK17:LK19)</f>
        <v>685.72</v>
      </c>
      <c r="LJ34" s="153" t="s">
        <v>2739</v>
      </c>
      <c r="LK34" s="107">
        <v>50.36</v>
      </c>
      <c r="LL34" s="71" t="s">
        <v>2534</v>
      </c>
      <c r="LM34" s="49">
        <v>28.82</v>
      </c>
      <c r="LN34" s="161" t="s">
        <v>2689</v>
      </c>
      <c r="LO34" s="49">
        <f>SUM(LQ15:LQ18)</f>
        <v>1348.41</v>
      </c>
      <c r="LP34" s="153" t="s">
        <v>2740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2741</v>
      </c>
      <c r="MC34" s="63">
        <v>34.799999999999997</v>
      </c>
      <c r="MD34" s="75" t="s">
        <v>2688</v>
      </c>
      <c r="MF34" s="321"/>
      <c r="MG34" s="321"/>
      <c r="MH34" s="328" t="s">
        <v>2742</v>
      </c>
      <c r="MI34" s="49">
        <v>99.76</v>
      </c>
      <c r="MJ34" s="71"/>
      <c r="MK34" s="51"/>
      <c r="ML34" s="53" t="s">
        <v>2222</v>
      </c>
      <c r="MM34" s="313"/>
      <c r="MN34" s="328" t="s">
        <v>2628</v>
      </c>
      <c r="MO34" s="49">
        <v>30.5</v>
      </c>
      <c r="MP34" s="585"/>
      <c r="MR34" s="294" t="s">
        <v>2689</v>
      </c>
      <c r="MS34" s="49">
        <f>SUM(MU32:MU32)</f>
        <v>0</v>
      </c>
      <c r="MT34" s="50" t="s">
        <v>2383</v>
      </c>
      <c r="MU34" s="52">
        <v>-1</v>
      </c>
      <c r="MV34" s="601" t="s">
        <v>3444</v>
      </c>
      <c r="MW34" s="601">
        <v>30</v>
      </c>
    </row>
    <row r="35" spans="1:363" ht="14.25" customHeight="1">
      <c r="A35" s="663"/>
      <c r="B35" s="663"/>
      <c r="E35" s="572" t="s">
        <v>493</v>
      </c>
      <c r="F35" s="59">
        <v>250</v>
      </c>
      <c r="G35" s="663"/>
      <c r="H35" s="663"/>
      <c r="W35" s="78" t="s">
        <v>2744</v>
      </c>
      <c r="X35" s="78">
        <v>20.001000000000001</v>
      </c>
      <c r="Z35" s="14"/>
      <c r="AO35" s="84" t="s">
        <v>2745</v>
      </c>
      <c r="AP35" s="14">
        <v>26.26</v>
      </c>
      <c r="AU35" s="14" t="s">
        <v>2746</v>
      </c>
      <c r="AV35" s="14">
        <v>80</v>
      </c>
      <c r="BE35" s="84" t="s">
        <v>2747</v>
      </c>
      <c r="BF35" s="14">
        <v>95</v>
      </c>
      <c r="BK35" s="50" t="s">
        <v>2748</v>
      </c>
      <c r="BL35" s="50">
        <v>200</v>
      </c>
      <c r="BW35" s="50" t="s">
        <v>2749</v>
      </c>
      <c r="BX35" s="50">
        <v>65</v>
      </c>
      <c r="CC35" s="50" t="s">
        <v>2750</v>
      </c>
      <c r="CD35" s="50">
        <v>83.85</v>
      </c>
      <c r="CI35" s="50" t="s">
        <v>2751</v>
      </c>
      <c r="CJ35" s="90">
        <v>46.65</v>
      </c>
      <c r="CK35" s="110"/>
      <c r="CO35" s="50" t="s">
        <v>2752</v>
      </c>
      <c r="CP35" s="50">
        <f>11.3+50.4</f>
        <v>61.7</v>
      </c>
      <c r="CQ35" s="110"/>
      <c r="CU35" s="50" t="s">
        <v>2753</v>
      </c>
      <c r="CV35" s="108">
        <v>412.25</v>
      </c>
      <c r="CW35" s="75" t="s">
        <v>2574</v>
      </c>
      <c r="DA35" s="128" t="s">
        <v>2754</v>
      </c>
      <c r="DB35" s="128"/>
      <c r="DC35" s="67" t="s">
        <v>363</v>
      </c>
      <c r="DE35" s="67" t="s">
        <v>2755</v>
      </c>
      <c r="DF35" s="50">
        <f>46147-45991</f>
        <v>156</v>
      </c>
      <c r="DG35" s="94" t="s">
        <v>2756</v>
      </c>
      <c r="DH35" s="63">
        <f>16.98+17.17+13.1+13.72+14.74+13.83</f>
        <v>89.54</v>
      </c>
      <c r="DI35" s="21" t="s">
        <v>2757</v>
      </c>
      <c r="DJ35" s="98">
        <v>5000</v>
      </c>
      <c r="DM35" s="124"/>
      <c r="DN35" s="63"/>
      <c r="DO35" s="566" t="s">
        <v>2554</v>
      </c>
      <c r="DP35" s="106"/>
      <c r="DS35" s="124" t="s">
        <v>2563</v>
      </c>
      <c r="DT35" s="63">
        <v>68.97</v>
      </c>
      <c r="DU35" s="566" t="s">
        <v>372</v>
      </c>
      <c r="DY35" s="110" t="s">
        <v>2758</v>
      </c>
      <c r="DZ35" s="14">
        <f>1379-100</f>
        <v>1279</v>
      </c>
      <c r="EA35" s="14" t="s">
        <v>197</v>
      </c>
      <c r="EG35" s="55"/>
      <c r="EL35" s="21" t="s">
        <v>2759</v>
      </c>
      <c r="EM35" s="21"/>
      <c r="EN35" s="14" t="s">
        <v>2574</v>
      </c>
      <c r="ER35" s="21"/>
      <c r="ES35" s="21"/>
      <c r="ET35" s="14" t="s">
        <v>2556</v>
      </c>
      <c r="EX35" s="55" t="s">
        <v>2760</v>
      </c>
      <c r="EY35" s="55">
        <v>202.2</v>
      </c>
      <c r="FD35" s="55" t="s">
        <v>2761</v>
      </c>
      <c r="FE35" s="55">
        <v>10.000999999999999</v>
      </c>
      <c r="FF35" s="75" t="s">
        <v>2762</v>
      </c>
      <c r="FG35" s="63">
        <v>67.400000000000006</v>
      </c>
      <c r="FJ35" s="67" t="s">
        <v>2763</v>
      </c>
      <c r="FK35" s="14">
        <v>720</v>
      </c>
      <c r="FL35" s="55" t="s">
        <v>2409</v>
      </c>
      <c r="FM35" s="100">
        <v>10005</v>
      </c>
      <c r="FP35" s="153" t="s">
        <v>2764</v>
      </c>
      <c r="FQ35" s="14">
        <v>49.23</v>
      </c>
      <c r="FR35" s="75"/>
      <c r="FS35" s="103"/>
      <c r="FV35" s="156" t="s">
        <v>2765</v>
      </c>
      <c r="FW35" s="158"/>
      <c r="FX35" s="14" t="s">
        <v>372</v>
      </c>
      <c r="GB35" s="158" t="s">
        <v>2766</v>
      </c>
      <c r="GC35" s="158"/>
      <c r="GH35" s="156" t="s">
        <v>2767</v>
      </c>
      <c r="GI35" s="158"/>
      <c r="GJ35" s="75" t="s">
        <v>2768</v>
      </c>
      <c r="GK35" s="103">
        <v>20</v>
      </c>
      <c r="GN35" s="153" t="s">
        <v>2769</v>
      </c>
      <c r="GO35" s="14">
        <v>95</v>
      </c>
      <c r="GT35" s="158" t="s">
        <v>2770</v>
      </c>
      <c r="GU35" s="172">
        <f>GQ17+GT34-GW16</f>
        <v>262</v>
      </c>
      <c r="GV35" s="14" t="s">
        <v>197</v>
      </c>
      <c r="GZ35" s="153" t="s">
        <v>2771</v>
      </c>
      <c r="HA35" s="14">
        <v>32.6</v>
      </c>
      <c r="HB35" s="75" t="s">
        <v>2772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2773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2774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2775</v>
      </c>
      <c r="IE35" s="14">
        <v>47.96</v>
      </c>
      <c r="IF35" s="14" t="s">
        <v>197</v>
      </c>
      <c r="IH35" s="194"/>
      <c r="II35" s="212"/>
      <c r="IJ35" s="153" t="s">
        <v>2776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2725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2777</v>
      </c>
      <c r="JC35" s="63">
        <v>16.87</v>
      </c>
      <c r="JH35" s="178" t="s">
        <v>2478</v>
      </c>
      <c r="JI35" s="203">
        <f>JE21+JG37-JK22</f>
        <v>100</v>
      </c>
      <c r="JL35" s="156" t="s">
        <v>2778</v>
      </c>
      <c r="JM35" s="171">
        <f>50+400+200+100</f>
        <v>750</v>
      </c>
      <c r="JN35" s="204">
        <v>9</v>
      </c>
      <c r="JO35" s="244" t="s">
        <v>2779</v>
      </c>
      <c r="JP35" s="14" t="s">
        <v>372</v>
      </c>
      <c r="JT35" s="204">
        <v>10</v>
      </c>
      <c r="JU35" s="244" t="s">
        <v>2780</v>
      </c>
      <c r="JZ35" s="153" t="s">
        <v>2781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2782</v>
      </c>
      <c r="KH35" s="75" t="s">
        <v>2219</v>
      </c>
      <c r="KJ35" s="53" t="s">
        <v>2222</v>
      </c>
      <c r="KK35" s="53"/>
      <c r="KL35" s="14" t="s">
        <v>2783</v>
      </c>
      <c r="KM35" s="63">
        <v>400</v>
      </c>
      <c r="KN35" s="75" t="s">
        <v>2784</v>
      </c>
      <c r="KO35" s="49">
        <v>57.6</v>
      </c>
      <c r="KP35" s="53" t="s">
        <v>2222</v>
      </c>
      <c r="KQ35" s="53"/>
      <c r="KR35" s="153" t="s">
        <v>2785</v>
      </c>
      <c r="KS35" s="107">
        <v>40.4</v>
      </c>
      <c r="KT35" s="75" t="s">
        <v>2688</v>
      </c>
      <c r="KX35" s="153" t="s">
        <v>2786</v>
      </c>
      <c r="KY35" s="49">
        <v>13.5</v>
      </c>
      <c r="KZ35" s="75" t="s">
        <v>2787</v>
      </c>
      <c r="LA35" s="55"/>
      <c r="LB35" s="53" t="s">
        <v>2222</v>
      </c>
      <c r="LC35" s="53"/>
      <c r="LD35" s="153" t="s">
        <v>2788</v>
      </c>
      <c r="LE35" s="49">
        <v>42.9</v>
      </c>
      <c r="LF35" s="14" t="s">
        <v>372</v>
      </c>
      <c r="LH35" s="294" t="s">
        <v>2680</v>
      </c>
      <c r="LI35" s="51">
        <f>SUM(LK21:LK27)</f>
        <v>648.76</v>
      </c>
      <c r="LJ35" s="153" t="s">
        <v>2789</v>
      </c>
      <c r="LK35" s="107">
        <v>172.3</v>
      </c>
      <c r="LL35" s="71" t="s">
        <v>2790</v>
      </c>
      <c r="LM35" s="49">
        <v>21.1</v>
      </c>
      <c r="LN35" s="94" t="s">
        <v>2791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2689</v>
      </c>
      <c r="LU35" s="49">
        <f>SUM(LW13:LW15)</f>
        <v>1500.08</v>
      </c>
      <c r="LV35" s="202">
        <v>31.86</v>
      </c>
      <c r="LW35" s="52"/>
      <c r="LZ35" s="153" t="s">
        <v>2680</v>
      </c>
      <c r="MA35" s="49">
        <f>SUM(MC8:MC14)</f>
        <v>724.87</v>
      </c>
      <c r="MB35" s="50" t="s">
        <v>2693</v>
      </c>
      <c r="MC35" s="107">
        <f>17</f>
        <v>17</v>
      </c>
      <c r="MD35" s="75" t="s">
        <v>2792</v>
      </c>
      <c r="MF35" s="321"/>
      <c r="MG35" s="321"/>
      <c r="MH35" s="328" t="s">
        <v>2793</v>
      </c>
      <c r="MI35" s="49">
        <v>38</v>
      </c>
      <c r="MJ35" s="71"/>
      <c r="MK35" s="51"/>
      <c r="ML35" s="332" t="s">
        <v>1200</v>
      </c>
      <c r="MM35" s="63">
        <f>SUM(MO6:MO8)</f>
        <v>2960.13</v>
      </c>
      <c r="MN35" s="328" t="s">
        <v>3428</v>
      </c>
      <c r="MO35" s="49">
        <v>28.74</v>
      </c>
      <c r="MR35" s="121" t="s">
        <v>2791</v>
      </c>
      <c r="MS35" s="255">
        <f>SUM(MU33:MU33)</f>
        <v>0</v>
      </c>
      <c r="MT35" s="333">
        <v>38.130000000000003</v>
      </c>
      <c r="MU35" s="52"/>
      <c r="MV35" s="601" t="s">
        <v>3445</v>
      </c>
      <c r="MW35" s="51">
        <v>30</v>
      </c>
    </row>
    <row r="36" spans="1:363" ht="14.25" customHeight="1">
      <c r="B36" s="14"/>
      <c r="H36" s="14"/>
      <c r="K36" s="74" t="s">
        <v>2794</v>
      </c>
      <c r="L36" s="74">
        <f>1070+321</f>
        <v>1391</v>
      </c>
      <c r="Q36" s="74" t="s">
        <v>2589</v>
      </c>
      <c r="R36" s="74">
        <v>0</v>
      </c>
      <c r="W36" s="78" t="s">
        <v>2795</v>
      </c>
      <c r="X36" s="78">
        <f>10+5</f>
        <v>15</v>
      </c>
      <c r="AO36" s="84" t="s">
        <v>2795</v>
      </c>
      <c r="AP36" s="14">
        <v>10</v>
      </c>
      <c r="AU36" s="14" t="s">
        <v>2796</v>
      </c>
      <c r="AV36" s="14">
        <v>150</v>
      </c>
      <c r="BE36" s="14" t="s">
        <v>2797</v>
      </c>
      <c r="BF36" s="14">
        <f>108.3+39.8</f>
        <v>148.1</v>
      </c>
      <c r="BK36" s="50" t="s">
        <v>2798</v>
      </c>
      <c r="BL36" s="50">
        <v>400</v>
      </c>
      <c r="BQ36" s="50" t="s">
        <v>2799</v>
      </c>
      <c r="BR36" s="50">
        <v>300</v>
      </c>
      <c r="BW36" s="50" t="s">
        <v>2800</v>
      </c>
      <c r="BX36" s="50">
        <v>32.299999999999997</v>
      </c>
      <c r="CC36" s="50" t="s">
        <v>2801</v>
      </c>
      <c r="CD36" s="50">
        <v>535</v>
      </c>
      <c r="CI36" s="50" t="s">
        <v>2802</v>
      </c>
      <c r="CJ36" s="50">
        <v>39</v>
      </c>
      <c r="CO36" s="50" t="s">
        <v>2803</v>
      </c>
      <c r="CP36" s="50">
        <v>28.85</v>
      </c>
      <c r="CU36" s="50" t="s">
        <v>2804</v>
      </c>
      <c r="CV36" s="50">
        <v>33</v>
      </c>
      <c r="DA36" s="128"/>
      <c r="DB36" s="128"/>
      <c r="DC36" s="75" t="s">
        <v>2574</v>
      </c>
      <c r="DE36" s="67" t="s">
        <v>2805</v>
      </c>
      <c r="DF36" s="50">
        <v>348.15</v>
      </c>
      <c r="DG36" s="124" t="s">
        <v>2806</v>
      </c>
      <c r="DH36" s="63">
        <v>72.33</v>
      </c>
      <c r="DI36" s="21" t="s">
        <v>2351</v>
      </c>
      <c r="DJ36" s="22">
        <v>10000</v>
      </c>
      <c r="DM36" s="127" t="s">
        <v>2807</v>
      </c>
      <c r="DN36" s="129">
        <f>DJ16+DM38-DP13</f>
        <v>169.99999999999997</v>
      </c>
      <c r="DO36" s="566" t="s">
        <v>2334</v>
      </c>
      <c r="DP36" s="63"/>
      <c r="DS36" s="664" t="s">
        <v>2150</v>
      </c>
      <c r="DT36" s="665"/>
      <c r="DU36" s="566" t="s">
        <v>2554</v>
      </c>
      <c r="DV36" s="106"/>
      <c r="DY36" s="14" t="s">
        <v>2808</v>
      </c>
      <c r="DZ36" s="14">
        <v>100</v>
      </c>
      <c r="EA36" s="14" t="s">
        <v>2447</v>
      </c>
      <c r="EE36" s="14" t="s">
        <v>2809</v>
      </c>
      <c r="EF36" s="14">
        <v>700</v>
      </c>
      <c r="EL36" s="21" t="s">
        <v>2810</v>
      </c>
      <c r="EM36" s="21"/>
      <c r="ER36" s="55" t="s">
        <v>2811</v>
      </c>
      <c r="ES36" s="55">
        <v>110</v>
      </c>
      <c r="ET36" s="14" t="s">
        <v>2554</v>
      </c>
      <c r="EX36" s="55" t="s">
        <v>2812</v>
      </c>
      <c r="EY36" s="55">
        <v>22.4</v>
      </c>
      <c r="EZ36" s="14" t="s">
        <v>372</v>
      </c>
      <c r="FD36" s="67" t="s">
        <v>2813</v>
      </c>
      <c r="FE36" s="55">
        <v>19.36</v>
      </c>
      <c r="FF36" s="75" t="s">
        <v>2814</v>
      </c>
      <c r="FG36" s="63">
        <v>87</v>
      </c>
      <c r="FJ36" s="55" t="s">
        <v>2815</v>
      </c>
      <c r="FK36" s="55">
        <f>58.1+1.5</f>
        <v>59.6</v>
      </c>
      <c r="FL36" s="55" t="s">
        <v>2456</v>
      </c>
      <c r="FM36" s="100">
        <v>0</v>
      </c>
      <c r="FP36" s="153" t="s">
        <v>2816</v>
      </c>
      <c r="FQ36" s="14">
        <v>80</v>
      </c>
      <c r="FR36" s="14" t="s">
        <v>372</v>
      </c>
      <c r="FV36" s="67" t="s">
        <v>2817</v>
      </c>
      <c r="FW36" s="14">
        <v>9.9</v>
      </c>
      <c r="FX36" s="14" t="s">
        <v>2556</v>
      </c>
      <c r="GB36" s="156" t="s">
        <v>2419</v>
      </c>
      <c r="GC36" s="158"/>
      <c r="GH36" s="156" t="s">
        <v>2818</v>
      </c>
      <c r="GI36" s="158"/>
      <c r="GJ36" s="75" t="s">
        <v>2768</v>
      </c>
      <c r="GK36" s="67">
        <v>63.6</v>
      </c>
      <c r="GN36" s="153" t="s">
        <v>2819</v>
      </c>
      <c r="GO36" s="14">
        <v>63.06</v>
      </c>
      <c r="GP36" s="14" t="s">
        <v>2820</v>
      </c>
      <c r="GT36" s="181">
        <v>71.8</v>
      </c>
      <c r="GU36" s="156" t="s">
        <v>2821</v>
      </c>
      <c r="GV36" s="14" t="s">
        <v>2447</v>
      </c>
      <c r="GZ36" s="153" t="s">
        <v>2822</v>
      </c>
      <c r="HA36" s="14">
        <v>40.479999999999997</v>
      </c>
      <c r="HB36" s="75" t="s">
        <v>2823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2824</v>
      </c>
      <c r="HM36" s="205">
        <v>20760</v>
      </c>
      <c r="HP36" s="156" t="s">
        <v>2825</v>
      </c>
      <c r="HQ36" s="171">
        <v>100</v>
      </c>
      <c r="HR36" s="204">
        <v>20</v>
      </c>
      <c r="HS36" s="156" t="s">
        <v>2826</v>
      </c>
      <c r="HT36" s="189"/>
      <c r="HU36" s="103"/>
      <c r="HX36" s="204">
        <v>140</v>
      </c>
      <c r="HY36" s="156" t="s">
        <v>2827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2828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2829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2830</v>
      </c>
      <c r="JN36" s="204">
        <v>10</v>
      </c>
      <c r="JO36" s="244" t="s">
        <v>2831</v>
      </c>
      <c r="JP36" s="14" t="s">
        <v>197</v>
      </c>
      <c r="JS36" s="233"/>
      <c r="JT36" s="14" t="s">
        <v>2832</v>
      </c>
      <c r="JU36" s="107">
        <v>139</v>
      </c>
      <c r="JZ36" s="153" t="s">
        <v>2833</v>
      </c>
      <c r="KA36" s="107">
        <v>10</v>
      </c>
      <c r="KD36" s="158" t="s">
        <v>2834</v>
      </c>
      <c r="KE36" s="290">
        <v>100</v>
      </c>
      <c r="KF36" s="291" t="s">
        <v>2835</v>
      </c>
      <c r="KG36" s="248">
        <v>70</v>
      </c>
      <c r="KH36" s="75" t="s">
        <v>2836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2837</v>
      </c>
      <c r="KS36" s="107">
        <f>30.8+1.8+1</f>
        <v>33.6</v>
      </c>
      <c r="KT36" s="75" t="s">
        <v>2838</v>
      </c>
      <c r="KU36" s="55"/>
      <c r="KV36" s="67"/>
      <c r="KX36" s="153" t="s">
        <v>2839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2840</v>
      </c>
      <c r="LE36" s="49">
        <v>36.9</v>
      </c>
      <c r="LF36" s="14" t="s">
        <v>2841</v>
      </c>
      <c r="LH36" s="153" t="s">
        <v>2429</v>
      </c>
      <c r="LI36" s="51">
        <f>SUM(LK28:LK37)</f>
        <v>481.59999999999997</v>
      </c>
      <c r="LJ36" s="153" t="s">
        <v>2842</v>
      </c>
      <c r="LK36" s="107">
        <v>37.4</v>
      </c>
      <c r="LL36" s="75" t="s">
        <v>2688</v>
      </c>
      <c r="LN36" s="294" t="s">
        <v>2680</v>
      </c>
      <c r="LO36" s="49">
        <f>SUM(LQ21:LQ28)</f>
        <v>953.54000000000008</v>
      </c>
      <c r="LP36" s="153" t="s">
        <v>2843</v>
      </c>
      <c r="LQ36" s="107">
        <v>38.9</v>
      </c>
      <c r="LT36" s="94" t="s">
        <v>2791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8" t="s">
        <v>2844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8" t="s">
        <v>3429</v>
      </c>
      <c r="MO36" s="49">
        <v>31.53</v>
      </c>
      <c r="MQ36" s="51"/>
      <c r="MR36" s="328" t="s">
        <v>2429</v>
      </c>
      <c r="MS36" s="594">
        <f>SUM(MU19:MU31)</f>
        <v>0</v>
      </c>
      <c r="MT36" s="178" t="s">
        <v>2478</v>
      </c>
      <c r="MU36" s="22">
        <f>MQ28+MS39-MW28</f>
        <v>0</v>
      </c>
      <c r="MV36" s="617" t="s">
        <v>3450</v>
      </c>
      <c r="MW36" s="49">
        <v>1400</v>
      </c>
    </row>
    <row r="37" spans="1:363" ht="12.75" customHeight="1" thickBot="1">
      <c r="W37" s="78" t="s">
        <v>2644</v>
      </c>
      <c r="X37" s="78">
        <f>70+16</f>
        <v>86</v>
      </c>
      <c r="AO37" s="84" t="s">
        <v>2845</v>
      </c>
      <c r="AP37" s="14">
        <v>22</v>
      </c>
      <c r="AU37" s="14" t="s">
        <v>2846</v>
      </c>
      <c r="AV37" s="14">
        <v>118</v>
      </c>
      <c r="BE37" s="14" t="s">
        <v>2847</v>
      </c>
      <c r="BF37" s="14">
        <v>134</v>
      </c>
      <c r="BK37" s="50" t="s">
        <v>2848</v>
      </c>
      <c r="BL37" s="50">
        <v>250</v>
      </c>
      <c r="BQ37" s="50" t="s">
        <v>2798</v>
      </c>
      <c r="BR37" s="50">
        <v>300</v>
      </c>
      <c r="CC37" s="50" t="s">
        <v>2849</v>
      </c>
      <c r="CD37" s="50">
        <v>180</v>
      </c>
      <c r="CI37" s="50" t="s">
        <v>2850</v>
      </c>
      <c r="CJ37" s="50">
        <v>58</v>
      </c>
      <c r="CO37" s="50" t="s">
        <v>2851</v>
      </c>
      <c r="CP37" s="50">
        <v>39</v>
      </c>
      <c r="CU37" s="50" t="s">
        <v>2852</v>
      </c>
      <c r="CV37" s="50">
        <v>10.000999999999999</v>
      </c>
      <c r="DA37" s="50" t="s">
        <v>2853</v>
      </c>
      <c r="DB37" s="67">
        <v>192.6</v>
      </c>
      <c r="DG37" s="124" t="s">
        <v>2854</v>
      </c>
      <c r="DH37" s="63">
        <v>127.12</v>
      </c>
      <c r="DI37" s="66"/>
      <c r="DJ37" s="135"/>
      <c r="DM37" s="137" t="s">
        <v>2855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2856</v>
      </c>
      <c r="DZ37" s="14">
        <v>49.8</v>
      </c>
      <c r="EA37" s="14" t="s">
        <v>2574</v>
      </c>
      <c r="EE37" s="14" t="s">
        <v>2857</v>
      </c>
      <c r="EL37" s="21" t="s">
        <v>2858</v>
      </c>
      <c r="EM37" s="21"/>
      <c r="ER37" s="55" t="s">
        <v>2801</v>
      </c>
      <c r="ES37" s="55">
        <v>749</v>
      </c>
      <c r="ET37" s="14" t="s">
        <v>197</v>
      </c>
      <c r="EX37" s="67" t="s">
        <v>2859</v>
      </c>
      <c r="EY37" s="14">
        <v>7</v>
      </c>
      <c r="EZ37" s="14" t="s">
        <v>2556</v>
      </c>
      <c r="FD37" s="67" t="s">
        <v>2813</v>
      </c>
      <c r="FE37" s="55">
        <v>14.08</v>
      </c>
      <c r="FF37" s="75" t="s">
        <v>2860</v>
      </c>
      <c r="FG37" s="63">
        <v>211</v>
      </c>
      <c r="FJ37" s="176" t="s">
        <v>2861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2862</v>
      </c>
      <c r="FW37" s="67">
        <v>127.1</v>
      </c>
      <c r="FX37" s="14" t="s">
        <v>197</v>
      </c>
      <c r="GB37" s="156" t="s">
        <v>2863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2864</v>
      </c>
      <c r="GQ37" s="103"/>
      <c r="GT37" s="182">
        <v>80</v>
      </c>
      <c r="GU37" s="156" t="s">
        <v>2419</v>
      </c>
      <c r="GV37" s="14" t="s">
        <v>2574</v>
      </c>
      <c r="GZ37" s="153" t="s">
        <v>2806</v>
      </c>
      <c r="HA37" s="14">
        <v>49.98</v>
      </c>
      <c r="HF37" s="188" t="s">
        <v>2865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2866</v>
      </c>
      <c r="IV37" s="75" t="s">
        <v>1847</v>
      </c>
      <c r="IW37" s="107">
        <v>104.35</v>
      </c>
      <c r="JB37" s="202">
        <v>23.85</v>
      </c>
      <c r="JC37" s="52"/>
      <c r="JF37" s="156" t="s">
        <v>2867</v>
      </c>
      <c r="JG37" s="171">
        <v>200</v>
      </c>
      <c r="JH37" s="204">
        <v>8</v>
      </c>
      <c r="JI37" s="244" t="s">
        <v>2868</v>
      </c>
      <c r="JN37" s="204">
        <v>192.7</v>
      </c>
      <c r="JO37" s="244" t="s">
        <v>2869</v>
      </c>
      <c r="JP37" s="14" t="s">
        <v>2574</v>
      </c>
      <c r="JS37" s="233"/>
      <c r="JT37" s="264" t="s">
        <v>2870</v>
      </c>
      <c r="JU37" s="276">
        <v>5.35</v>
      </c>
      <c r="JZ37" s="153" t="s">
        <v>2871</v>
      </c>
      <c r="KA37" s="49">
        <f>45.73</f>
        <v>45.73</v>
      </c>
      <c r="KF37" s="270" t="s">
        <v>2872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2873</v>
      </c>
      <c r="KS37" s="107">
        <f>7.5+7.5</f>
        <v>15</v>
      </c>
      <c r="KT37" s="75" t="s">
        <v>1788</v>
      </c>
      <c r="KX37" s="153" t="s">
        <v>2874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2875</v>
      </c>
      <c r="LE37" s="107">
        <v>12</v>
      </c>
      <c r="LF37" s="14" t="s">
        <v>2876</v>
      </c>
      <c r="LH37" s="153" t="s">
        <v>2576</v>
      </c>
      <c r="LI37" s="263">
        <f>SUM(LK30:LK37)</f>
        <v>456.59999999999997</v>
      </c>
      <c r="LJ37" s="153" t="s">
        <v>2877</v>
      </c>
      <c r="LK37" s="107">
        <v>6.5</v>
      </c>
      <c r="LL37" s="75" t="s">
        <v>2737</v>
      </c>
      <c r="LN37" s="153" t="s">
        <v>2429</v>
      </c>
      <c r="LO37" s="49">
        <f>SUM(LQ29:LQ37)</f>
        <v>763.64</v>
      </c>
      <c r="LP37" s="153" t="s">
        <v>2878</v>
      </c>
      <c r="LQ37" s="107">
        <v>67.38</v>
      </c>
      <c r="LR37" s="75" t="s">
        <v>2688</v>
      </c>
      <c r="LT37" s="294" t="s">
        <v>2680</v>
      </c>
      <c r="LU37" s="49">
        <f>SUM(LW16:LW22)</f>
        <v>717.48</v>
      </c>
      <c r="LV37" s="204">
        <v>10</v>
      </c>
      <c r="LW37" s="203" t="s">
        <v>2419</v>
      </c>
      <c r="LX37" s="75" t="s">
        <v>2688</v>
      </c>
      <c r="LZ37" s="294" t="s">
        <v>2689</v>
      </c>
      <c r="MA37" s="49">
        <f>SUM(MC27:MC31)</f>
        <v>1669.48</v>
      </c>
      <c r="MB37" s="333">
        <v>40.15</v>
      </c>
      <c r="MC37" s="52"/>
      <c r="MD37" s="14" t="s">
        <v>2879</v>
      </c>
      <c r="MF37" s="321"/>
      <c r="MG37" s="321"/>
      <c r="MH37" s="328" t="s">
        <v>2880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2639</v>
      </c>
      <c r="MO37" s="612">
        <f>1294.38+250.7</f>
        <v>1545.0800000000002</v>
      </c>
      <c r="MP37" s="71"/>
      <c r="MQ37" s="49"/>
      <c r="MR37" s="328" t="s">
        <v>2576</v>
      </c>
      <c r="MS37" s="316">
        <f>SUM(MU24:MU31)</f>
        <v>0</v>
      </c>
      <c r="MT37" s="204"/>
      <c r="MU37" s="22"/>
      <c r="MV37" s="606" t="s">
        <v>2277</v>
      </c>
      <c r="MW37" s="49"/>
    </row>
    <row r="38" spans="1:363" ht="13.5" thickBot="1">
      <c r="Q38" s="576" t="s">
        <v>1395</v>
      </c>
      <c r="R38" s="14">
        <v>700</v>
      </c>
      <c r="AO38" s="84" t="s">
        <v>2881</v>
      </c>
      <c r="AP38" s="14">
        <v>111</v>
      </c>
      <c r="AU38" s="14" t="s">
        <v>2882</v>
      </c>
      <c r="AV38" s="14">
        <v>134</v>
      </c>
      <c r="BQ38" s="50" t="s">
        <v>2848</v>
      </c>
      <c r="BR38" s="50">
        <v>150</v>
      </c>
      <c r="CC38" s="50" t="s">
        <v>1253</v>
      </c>
      <c r="CD38" s="50">
        <f>6.8+82.4</f>
        <v>89.2</v>
      </c>
      <c r="CI38" s="50" t="s">
        <v>2703</v>
      </c>
      <c r="CJ38" s="50">
        <v>25</v>
      </c>
      <c r="CO38" s="50" t="s">
        <v>2883</v>
      </c>
      <c r="CP38" s="50">
        <v>74.8</v>
      </c>
      <c r="CU38" s="50" t="s">
        <v>2884</v>
      </c>
      <c r="CV38" s="50">
        <f>50+10</f>
        <v>60</v>
      </c>
      <c r="CW38" s="110"/>
      <c r="DA38" s="50" t="s">
        <v>2885</v>
      </c>
      <c r="DB38" s="50">
        <v>40.6</v>
      </c>
      <c r="DG38" s="124" t="s">
        <v>2886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2887</v>
      </c>
      <c r="DT38" s="149"/>
      <c r="DU38" s="14" t="s">
        <v>2447</v>
      </c>
      <c r="DY38" s="14" t="s">
        <v>2888</v>
      </c>
      <c r="DZ38" s="14">
        <v>34</v>
      </c>
      <c r="EE38" s="14" t="s">
        <v>2889</v>
      </c>
      <c r="EF38" s="14">
        <v>40</v>
      </c>
      <c r="EH38" s="110"/>
      <c r="EL38" s="21" t="s">
        <v>2890</v>
      </c>
      <c r="EM38" s="21"/>
      <c r="ER38" s="67" t="s">
        <v>2891</v>
      </c>
      <c r="ES38" s="67">
        <f>710+22</f>
        <v>732</v>
      </c>
      <c r="ET38" s="14" t="s">
        <v>2447</v>
      </c>
      <c r="EX38" s="67" t="s">
        <v>2892</v>
      </c>
      <c r="EY38" s="55">
        <v>4.83</v>
      </c>
      <c r="EZ38" s="14" t="s">
        <v>2554</v>
      </c>
      <c r="FD38" s="67" t="s">
        <v>2893</v>
      </c>
      <c r="FE38" s="55">
        <v>78.69</v>
      </c>
      <c r="FF38" s="75" t="s">
        <v>2894</v>
      </c>
      <c r="FG38" s="63">
        <v>136</v>
      </c>
      <c r="FJ38" s="176" t="s">
        <v>1694</v>
      </c>
      <c r="FK38" s="67">
        <v>87.09</v>
      </c>
      <c r="FL38" s="75" t="s">
        <v>2712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2895</v>
      </c>
      <c r="FW38" s="67">
        <v>8.5299999999999994</v>
      </c>
      <c r="FX38" s="14" t="s">
        <v>2447</v>
      </c>
      <c r="GB38" s="156" t="s">
        <v>2896</v>
      </c>
      <c r="GC38" s="158"/>
      <c r="GH38" s="176" t="s">
        <v>2897</v>
      </c>
      <c r="GI38" s="67">
        <v>100</v>
      </c>
      <c r="GJ38" s="75"/>
      <c r="GK38" s="103"/>
      <c r="GN38" s="153" t="s">
        <v>2898</v>
      </c>
      <c r="GO38" s="14">
        <v>12.84</v>
      </c>
      <c r="GP38" s="75" t="s">
        <v>2899</v>
      </c>
      <c r="GQ38" s="14">
        <f>GU16</f>
        <v>84250</v>
      </c>
      <c r="GT38" s="182">
        <v>5</v>
      </c>
      <c r="GU38" s="156" t="s">
        <v>2900</v>
      </c>
      <c r="GZ38" s="153" t="s">
        <v>2901</v>
      </c>
      <c r="HA38" s="14">
        <f>36.3+3.2+61.6</f>
        <v>101.1</v>
      </c>
      <c r="HB38" s="14" t="s">
        <v>372</v>
      </c>
      <c r="HF38" s="188" t="s">
        <v>2902</v>
      </c>
      <c r="HG38" s="164">
        <v>17367.45</v>
      </c>
      <c r="HH38" s="14" t="s">
        <v>2447</v>
      </c>
      <c r="HR38" s="188" t="s">
        <v>2903</v>
      </c>
      <c r="HS38" s="205">
        <v>9.9</v>
      </c>
      <c r="HT38" s="14" t="s">
        <v>372</v>
      </c>
      <c r="HX38" s="204">
        <v>40</v>
      </c>
      <c r="HY38" s="156" t="s">
        <v>2904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2905</v>
      </c>
      <c r="IV38" s="75" t="s">
        <v>1847</v>
      </c>
      <c r="IW38" s="107">
        <v>51.81</v>
      </c>
      <c r="IZ38" s="156" t="s">
        <v>2906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2907</v>
      </c>
      <c r="JT38" s="265" t="s">
        <v>2908</v>
      </c>
      <c r="JU38" s="277">
        <v>2.2000000000000002</v>
      </c>
      <c r="JZ38" s="153" t="s">
        <v>2909</v>
      </c>
      <c r="KA38" s="107">
        <v>33.03</v>
      </c>
      <c r="KF38" s="292" t="s">
        <v>2910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2911</v>
      </c>
      <c r="KQ38" s="51">
        <f>SUM(KS8:KS13)</f>
        <v>1643.11</v>
      </c>
      <c r="KR38" s="14" t="s">
        <v>2783</v>
      </c>
      <c r="KS38" s="63">
        <v>40</v>
      </c>
      <c r="KT38" s="75" t="s">
        <v>1836</v>
      </c>
      <c r="KW38" s="55"/>
      <c r="KX38" s="153" t="s">
        <v>2912</v>
      </c>
      <c r="KY38" s="49">
        <v>707.68</v>
      </c>
      <c r="KZ38" s="14" t="s">
        <v>2841</v>
      </c>
      <c r="LB38" s="293" t="s">
        <v>2631</v>
      </c>
      <c r="LC38" s="174">
        <f>SUM(LE10:LE13)</f>
        <v>3622.06</v>
      </c>
      <c r="LD38" s="153" t="s">
        <v>2913</v>
      </c>
      <c r="LE38" s="107">
        <f>34.12+23.77</f>
        <v>57.89</v>
      </c>
      <c r="LF38" s="14" t="s">
        <v>2914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2915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2916</v>
      </c>
      <c r="LX38" s="75" t="s">
        <v>2792</v>
      </c>
      <c r="LZ38" s="121" t="s">
        <v>2791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2917</v>
      </c>
      <c r="MF38" s="321"/>
      <c r="MG38" s="321"/>
      <c r="MH38" s="328" t="s">
        <v>2918</v>
      </c>
      <c r="MI38" s="49">
        <v>4.9000000000000004</v>
      </c>
      <c r="MJ38" s="71"/>
      <c r="MK38" s="49"/>
      <c r="ML38" s="153" t="s">
        <v>2680</v>
      </c>
      <c r="MM38" s="49">
        <f>SUM(MO11:MO19)</f>
        <v>592.81999999999994</v>
      </c>
      <c r="MN38" s="121" t="s">
        <v>2743</v>
      </c>
      <c r="MO38" s="63">
        <v>550</v>
      </c>
      <c r="MP38" s="75"/>
      <c r="MT38" s="204"/>
      <c r="MU38" s="283"/>
      <c r="MV38" s="604" t="s">
        <v>2124</v>
      </c>
    </row>
    <row r="39" spans="1:363" ht="13.5" thickBot="1">
      <c r="K39" s="14" t="s">
        <v>2919</v>
      </c>
      <c r="L39" s="14">
        <v>95</v>
      </c>
      <c r="Q39" s="566" t="s">
        <v>2642</v>
      </c>
      <c r="R39" s="14">
        <v>100</v>
      </c>
      <c r="W39" s="14" t="s">
        <v>2920</v>
      </c>
      <c r="X39" s="14">
        <f>110.35+107.59-8.62-14.01</f>
        <v>195.31</v>
      </c>
      <c r="AO39" s="84" t="s">
        <v>2921</v>
      </c>
      <c r="AP39" s="14">
        <v>99.81</v>
      </c>
      <c r="AU39" s="14" t="s">
        <v>2922</v>
      </c>
      <c r="AV39" s="14">
        <v>-134</v>
      </c>
      <c r="BE39" s="14" t="s">
        <v>2748</v>
      </c>
      <c r="BF39" s="14">
        <v>200</v>
      </c>
      <c r="BW39" s="50" t="s">
        <v>2923</v>
      </c>
      <c r="BX39" s="50">
        <v>100</v>
      </c>
      <c r="CC39" s="50" t="s">
        <v>2924</v>
      </c>
      <c r="CD39" s="50">
        <v>0</v>
      </c>
      <c r="CI39" s="50" t="s">
        <v>2925</v>
      </c>
      <c r="CJ39" s="50">
        <v>102</v>
      </c>
      <c r="CO39" s="50" t="s">
        <v>2659</v>
      </c>
      <c r="CP39" s="50">
        <v>60.08</v>
      </c>
      <c r="CU39" s="50" t="s">
        <v>2926</v>
      </c>
      <c r="CV39" s="50">
        <v>80</v>
      </c>
      <c r="DA39" s="50" t="s">
        <v>2927</v>
      </c>
      <c r="DB39" s="50">
        <v>106.3</v>
      </c>
      <c r="DC39" s="110"/>
      <c r="DG39" s="124" t="s">
        <v>2928</v>
      </c>
      <c r="DH39" s="63">
        <v>32.200000000000003</v>
      </c>
      <c r="DI39" s="666" t="s">
        <v>2549</v>
      </c>
      <c r="DJ39" s="666"/>
      <c r="DM39" s="128" t="s">
        <v>2754</v>
      </c>
      <c r="DN39" s="130"/>
      <c r="DO39" s="75" t="s">
        <v>2574</v>
      </c>
      <c r="DS39" s="128" t="s">
        <v>2929</v>
      </c>
      <c r="DT39" s="130"/>
      <c r="DU39" s="75" t="s">
        <v>2574</v>
      </c>
      <c r="DY39" s="14" t="s">
        <v>2927</v>
      </c>
      <c r="DZ39" s="14">
        <v>15</v>
      </c>
      <c r="EL39" s="21"/>
      <c r="EM39" s="21"/>
      <c r="EN39" s="110"/>
      <c r="ER39" s="67" t="s">
        <v>2930</v>
      </c>
      <c r="ES39" s="67">
        <v>69</v>
      </c>
      <c r="ET39" s="14" t="s">
        <v>2574</v>
      </c>
      <c r="EX39" s="67" t="s">
        <v>2931</v>
      </c>
      <c r="EY39" s="67">
        <v>37.869999999999997</v>
      </c>
      <c r="EZ39" s="14" t="s">
        <v>197</v>
      </c>
      <c r="FD39" s="67" t="s">
        <v>2763</v>
      </c>
      <c r="FE39" s="14" t="s">
        <v>2932</v>
      </c>
      <c r="FF39" s="67" t="s">
        <v>2933</v>
      </c>
      <c r="FG39" s="67">
        <v>250</v>
      </c>
      <c r="FJ39" s="176" t="s">
        <v>2934</v>
      </c>
      <c r="FK39" s="55">
        <v>11.25</v>
      </c>
      <c r="FL39" s="75" t="s">
        <v>2935</v>
      </c>
      <c r="FM39" s="103">
        <v>101</v>
      </c>
      <c r="FP39" s="158" t="s">
        <v>2936</v>
      </c>
      <c r="FQ39" s="158"/>
      <c r="FR39" s="14" t="s">
        <v>2447</v>
      </c>
      <c r="FV39" s="176" t="s">
        <v>2937</v>
      </c>
      <c r="FW39" s="67">
        <v>184</v>
      </c>
      <c r="FX39" s="14" t="s">
        <v>2574</v>
      </c>
      <c r="GB39" s="156" t="s">
        <v>2938</v>
      </c>
      <c r="GC39" s="158"/>
      <c r="GH39" s="176" t="s">
        <v>2939</v>
      </c>
      <c r="GI39" s="14">
        <v>70</v>
      </c>
      <c r="GJ39" s="14" t="s">
        <v>372</v>
      </c>
      <c r="GN39" s="153" t="s">
        <v>2940</v>
      </c>
      <c r="GO39" s="14">
        <v>26</v>
      </c>
      <c r="GP39" s="75" t="s">
        <v>2941</v>
      </c>
      <c r="GQ39" s="103">
        <v>45000</v>
      </c>
      <c r="GT39" s="182">
        <v>20</v>
      </c>
      <c r="GU39" s="156" t="s">
        <v>2942</v>
      </c>
      <c r="GZ39" s="153" t="s">
        <v>2943</v>
      </c>
      <c r="HA39" s="14">
        <v>84.3</v>
      </c>
      <c r="HB39" s="14" t="s">
        <v>2556</v>
      </c>
      <c r="HF39" s="188" t="s">
        <v>2944</v>
      </c>
      <c r="HG39" s="166">
        <v>88</v>
      </c>
      <c r="HH39" s="14" t="s">
        <v>2574</v>
      </c>
      <c r="HL39" s="188"/>
      <c r="HM39" s="166"/>
      <c r="HR39" s="188" t="s">
        <v>2945</v>
      </c>
      <c r="HS39" s="166">
        <v>10.57</v>
      </c>
      <c r="HT39" s="14" t="s">
        <v>197</v>
      </c>
      <c r="HX39" s="204">
        <v>40</v>
      </c>
      <c r="HY39" s="156" t="s">
        <v>2946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2947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2948</v>
      </c>
      <c r="JH39" s="204">
        <v>10</v>
      </c>
      <c r="JI39" s="244" t="s">
        <v>2949</v>
      </c>
      <c r="JM39" s="233"/>
      <c r="JN39" s="204">
        <v>10</v>
      </c>
      <c r="JO39" s="21" t="s">
        <v>2950</v>
      </c>
      <c r="JS39" s="266" t="s">
        <v>2951</v>
      </c>
      <c r="JT39" s="265" t="s">
        <v>2952</v>
      </c>
      <c r="JU39" s="277">
        <v>89.39</v>
      </c>
      <c r="JX39" s="53" t="s">
        <v>2222</v>
      </c>
      <c r="JY39" s="53"/>
      <c r="JZ39" s="153" t="s">
        <v>2953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2911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2738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2954</v>
      </c>
      <c r="KY39" s="49">
        <f>1264.52+12.65</f>
        <v>1277.17</v>
      </c>
      <c r="KZ39" s="14" t="s">
        <v>2876</v>
      </c>
      <c r="LB39" s="161" t="s">
        <v>2911</v>
      </c>
      <c r="LC39" s="51">
        <f>SUM(LE14:LE18)</f>
        <v>825.89</v>
      </c>
      <c r="LD39" s="153" t="s">
        <v>2955</v>
      </c>
      <c r="LE39" s="107">
        <f>7.5*2+38.7</f>
        <v>53.7</v>
      </c>
      <c r="LF39" s="55" t="s">
        <v>2956</v>
      </c>
      <c r="LH39" s="158" t="s">
        <v>2957</v>
      </c>
      <c r="LI39" s="290">
        <v>300</v>
      </c>
      <c r="LJ39" s="202">
        <v>22.09</v>
      </c>
      <c r="LK39" s="52"/>
      <c r="LL39" s="14" t="s">
        <v>2841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2958</v>
      </c>
      <c r="LZ39" s="328" t="s">
        <v>2429</v>
      </c>
      <c r="MA39" s="49">
        <f>SUM(MC17:MC26)</f>
        <v>407.61999999999989</v>
      </c>
      <c r="MB39" s="204">
        <v>6</v>
      </c>
      <c r="MC39" s="203" t="s">
        <v>2959</v>
      </c>
      <c r="MF39" s="67"/>
      <c r="MH39" s="328" t="s">
        <v>2960</v>
      </c>
      <c r="MI39" s="49">
        <v>6.3</v>
      </c>
      <c r="ML39" s="294" t="s">
        <v>2689</v>
      </c>
      <c r="MM39" s="49">
        <f>SUM(MO37:MO37)</f>
        <v>1545.0800000000002</v>
      </c>
      <c r="MN39" s="121" t="s">
        <v>3420</v>
      </c>
      <c r="MO39" s="63">
        <v>46.48</v>
      </c>
      <c r="MP39" s="75" t="s">
        <v>2688</v>
      </c>
      <c r="MR39" s="158" t="s">
        <v>3441</v>
      </c>
      <c r="MS39" s="317">
        <v>0</v>
      </c>
      <c r="MT39" s="204"/>
      <c r="MU39" s="283"/>
      <c r="MV39" s="604" t="s">
        <v>2688</v>
      </c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2961</v>
      </c>
      <c r="GC40" s="158"/>
      <c r="GH40" s="176" t="s">
        <v>2962</v>
      </c>
      <c r="GI40" s="67">
        <v>190</v>
      </c>
      <c r="GJ40" s="14" t="s">
        <v>2556</v>
      </c>
      <c r="GN40" s="153" t="s">
        <v>2963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2964</v>
      </c>
      <c r="GV40" s="14" t="s">
        <v>2700</v>
      </c>
      <c r="GZ40" s="153"/>
      <c r="HB40" s="14" t="s">
        <v>197</v>
      </c>
      <c r="HF40" s="188" t="s">
        <v>2965</v>
      </c>
      <c r="HG40" s="166">
        <v>9.2200000000000006</v>
      </c>
      <c r="HR40" s="188"/>
      <c r="HS40" s="166"/>
      <c r="HX40" s="204">
        <v>20</v>
      </c>
      <c r="HY40" s="156" t="s">
        <v>2966</v>
      </c>
      <c r="ID40" s="204">
        <v>70</v>
      </c>
      <c r="IE40" s="156" t="s">
        <v>2626</v>
      </c>
      <c r="IH40" s="660" t="s">
        <v>2118</v>
      </c>
      <c r="II40" s="660"/>
      <c r="IJ40" s="204">
        <v>20</v>
      </c>
      <c r="IK40" s="156" t="s">
        <v>2967</v>
      </c>
      <c r="IN40" s="156" t="s">
        <v>2968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2969</v>
      </c>
      <c r="JH40" s="204">
        <v>12</v>
      </c>
      <c r="JI40" s="244" t="s">
        <v>2970</v>
      </c>
      <c r="JM40" s="233"/>
      <c r="JN40" s="204">
        <f>86*3+96</f>
        <v>354</v>
      </c>
      <c r="JO40" s="21" t="s">
        <v>2971</v>
      </c>
      <c r="JT40" s="267" t="s">
        <v>2972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2973</v>
      </c>
      <c r="KA40" s="107">
        <v>31</v>
      </c>
      <c r="KF40" s="292" t="s">
        <v>2974</v>
      </c>
      <c r="KG40" s="14">
        <v>81.84</v>
      </c>
      <c r="KH40" s="14" t="s">
        <v>197</v>
      </c>
      <c r="KJ40" s="92" t="s">
        <v>2738</v>
      </c>
      <c r="KK40" s="240">
        <f>SUM(KM10:KM13)</f>
        <v>451.43999999999994</v>
      </c>
      <c r="KL40" s="204">
        <v>6</v>
      </c>
      <c r="KM40" s="244" t="s">
        <v>2975</v>
      </c>
      <c r="KN40" s="14" t="s">
        <v>372</v>
      </c>
      <c r="KP40" s="294" t="s">
        <v>2680</v>
      </c>
      <c r="KQ40" s="51">
        <f>SUM(KS18:KS27)</f>
        <v>1009.24</v>
      </c>
      <c r="KR40" s="202">
        <v>25.54</v>
      </c>
      <c r="KS40" s="52"/>
      <c r="KT40" s="14" t="s">
        <v>2841</v>
      </c>
      <c r="KX40" s="153" t="s">
        <v>2976</v>
      </c>
      <c r="KY40" s="107">
        <v>31.96</v>
      </c>
      <c r="KZ40" s="14" t="s">
        <v>2914</v>
      </c>
      <c r="LB40" s="92" t="s">
        <v>2738</v>
      </c>
      <c r="LC40" s="240">
        <f>SUM(LE19:LE20)</f>
        <v>135.16</v>
      </c>
      <c r="LD40" s="153" t="s">
        <v>2977</v>
      </c>
      <c r="LE40" s="107">
        <v>32.5</v>
      </c>
      <c r="LJ40" s="178" t="s">
        <v>2478</v>
      </c>
      <c r="LK40" s="203">
        <f>LG23+LI39-LM23</f>
        <v>250</v>
      </c>
      <c r="LL40" s="14" t="s">
        <v>2876</v>
      </c>
      <c r="LN40" s="158" t="s">
        <v>2978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2979</v>
      </c>
      <c r="LZ40" s="328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8" t="s">
        <v>2980</v>
      </c>
      <c r="MI40" s="49">
        <v>6.95</v>
      </c>
      <c r="MJ40" s="75" t="s">
        <v>2688</v>
      </c>
      <c r="ML40" s="121" t="s">
        <v>2791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3009</v>
      </c>
      <c r="MT40" s="204"/>
      <c r="MU40" s="283"/>
      <c r="MV40" s="604" t="s">
        <v>3009</v>
      </c>
    </row>
    <row r="41" spans="1:363">
      <c r="K41" s="576" t="s">
        <v>1395</v>
      </c>
      <c r="L41" s="14">
        <v>300.01</v>
      </c>
      <c r="W41" s="14" t="s">
        <v>2981</v>
      </c>
      <c r="X41" s="14">
        <v>159</v>
      </c>
      <c r="AO41" s="84" t="s">
        <v>2982</v>
      </c>
      <c r="AP41" s="14">
        <v>-99.81</v>
      </c>
      <c r="BE41" s="14" t="s">
        <v>2798</v>
      </c>
      <c r="BF41" s="14">
        <v>400</v>
      </c>
      <c r="BW41" s="50" t="s">
        <v>2798</v>
      </c>
      <c r="BX41" s="50">
        <v>400</v>
      </c>
      <c r="CC41" s="50" t="s">
        <v>2983</v>
      </c>
      <c r="CD41" s="50">
        <v>320</v>
      </c>
      <c r="CI41" s="50" t="s">
        <v>2984</v>
      </c>
      <c r="CJ41" s="50">
        <v>50</v>
      </c>
      <c r="CO41" s="50" t="s">
        <v>2985</v>
      </c>
      <c r="CP41" s="50">
        <v>200</v>
      </c>
      <c r="CU41" s="50" t="s">
        <v>2984</v>
      </c>
      <c r="CV41" s="50">
        <v>100</v>
      </c>
      <c r="DA41" s="50" t="s">
        <v>2986</v>
      </c>
      <c r="DB41" s="50">
        <v>296.14</v>
      </c>
      <c r="DG41" s="124" t="s">
        <v>2987</v>
      </c>
      <c r="DH41" s="63">
        <v>40</v>
      </c>
      <c r="DI41" s="117" t="s">
        <v>2988</v>
      </c>
      <c r="DJ41" s="117">
        <v>200</v>
      </c>
      <c r="DM41" s="128" t="s">
        <v>2989</v>
      </c>
      <c r="DN41" s="130"/>
      <c r="DS41" s="128" t="s">
        <v>2990</v>
      </c>
      <c r="DT41" s="130"/>
      <c r="EL41" s="14" t="s">
        <v>2991</v>
      </c>
      <c r="EM41" s="14">
        <v>59.7</v>
      </c>
      <c r="ER41" s="55" t="s">
        <v>2992</v>
      </c>
      <c r="ES41" s="55">
        <v>18</v>
      </c>
      <c r="EX41" s="67" t="s">
        <v>2993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2994</v>
      </c>
      <c r="FQ41" s="158"/>
      <c r="FR41" s="14" t="s">
        <v>2574</v>
      </c>
      <c r="FV41" s="176" t="s">
        <v>2995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2996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2997</v>
      </c>
      <c r="JO41" s="107">
        <v>7.5</v>
      </c>
      <c r="JT41" s="265" t="s">
        <v>2998</v>
      </c>
      <c r="JU41" s="277">
        <v>18.8</v>
      </c>
      <c r="JX41" s="177" t="s">
        <v>2527</v>
      </c>
      <c r="JY41" s="97">
        <f>SUM(KA21:KA24)</f>
        <v>6114.74</v>
      </c>
      <c r="JZ41" s="153" t="s">
        <v>2999</v>
      </c>
      <c r="KA41" s="107">
        <v>13.15</v>
      </c>
      <c r="KE41" s="55"/>
      <c r="KF41" s="292" t="s">
        <v>3000</v>
      </c>
      <c r="KG41" s="14">
        <v>37.700000000000003</v>
      </c>
      <c r="KJ41" s="294" t="s">
        <v>2680</v>
      </c>
      <c r="KK41" s="51">
        <f>SUM(KM18:KM25)</f>
        <v>714.36400000000003</v>
      </c>
      <c r="KL41" s="204">
        <v>10</v>
      </c>
      <c r="KM41" s="244" t="s">
        <v>3001</v>
      </c>
      <c r="KN41" s="656" t="s">
        <v>2956</v>
      </c>
      <c r="KO41" s="656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2876</v>
      </c>
      <c r="KX41" s="153" t="s">
        <v>3002</v>
      </c>
      <c r="KY41" s="49">
        <f>21.3+22.3</f>
        <v>43.6</v>
      </c>
      <c r="KZ41" s="55" t="s">
        <v>2956</v>
      </c>
      <c r="LB41" s="294" t="s">
        <v>2680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3003</v>
      </c>
      <c r="LI41" s="55"/>
      <c r="LJ41" s="204">
        <v>40</v>
      </c>
      <c r="LK41" s="283" t="s">
        <v>3004</v>
      </c>
      <c r="LL41" s="14" t="s">
        <v>2914</v>
      </c>
      <c r="LP41" s="204">
        <v>600</v>
      </c>
      <c r="LQ41" s="203" t="s">
        <v>3005</v>
      </c>
      <c r="LT41" s="158" t="s">
        <v>3006</v>
      </c>
      <c r="LU41" s="317">
        <v>290</v>
      </c>
      <c r="LV41" s="204">
        <v>7</v>
      </c>
      <c r="LW41" s="283" t="s">
        <v>3007</v>
      </c>
      <c r="MB41" s="204">
        <v>5</v>
      </c>
      <c r="MC41" s="283" t="s">
        <v>3008</v>
      </c>
      <c r="MF41" s="53" t="s">
        <v>2222</v>
      </c>
      <c r="MG41" s="313"/>
      <c r="MH41" s="73" t="s">
        <v>2639</v>
      </c>
      <c r="MI41" s="63">
        <f>749.38+250.7</f>
        <v>1000.0799999999999</v>
      </c>
      <c r="MJ41" s="75" t="s">
        <v>3009</v>
      </c>
      <c r="ML41" s="328" t="s">
        <v>2429</v>
      </c>
      <c r="MM41" s="594">
        <f>SUM(MO20:MO36)</f>
        <v>2258.6099999999997</v>
      </c>
      <c r="MN41" s="333">
        <v>38.130000000000003</v>
      </c>
      <c r="MO41" s="52"/>
      <c r="MP41" s="14" t="s">
        <v>372</v>
      </c>
      <c r="MS41" s="62"/>
      <c r="MT41" s="606" t="s">
        <v>3447</v>
      </c>
      <c r="MU41" s="248">
        <v>399</v>
      </c>
      <c r="MV41" s="601" t="s">
        <v>372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3010</v>
      </c>
      <c r="GC42" s="14">
        <v>80</v>
      </c>
      <c r="GH42" s="176" t="s">
        <v>3011</v>
      </c>
      <c r="GI42" s="67">
        <v>1100</v>
      </c>
      <c r="GJ42" s="14" t="s">
        <v>197</v>
      </c>
      <c r="GN42" s="153" t="s">
        <v>3012</v>
      </c>
      <c r="GO42" s="14">
        <f>76+25.2</f>
        <v>101.2</v>
      </c>
      <c r="GP42" s="75" t="s">
        <v>3013</v>
      </c>
      <c r="GQ42" s="103"/>
      <c r="GT42" s="182">
        <v>6</v>
      </c>
      <c r="GU42" s="156" t="s">
        <v>3014</v>
      </c>
      <c r="GV42" s="110"/>
      <c r="GZ42" s="178"/>
      <c r="HA42" s="21"/>
      <c r="HB42" s="14" t="s">
        <v>2447</v>
      </c>
      <c r="HF42" s="184" t="s">
        <v>3015</v>
      </c>
      <c r="HG42" s="184">
        <v>440</v>
      </c>
      <c r="HR42" s="188"/>
      <c r="HS42" s="166"/>
      <c r="HX42" s="204">
        <v>45</v>
      </c>
      <c r="HY42" s="156" t="s">
        <v>3016</v>
      </c>
      <c r="IB42" s="156" t="s">
        <v>3017</v>
      </c>
      <c r="IC42" s="171">
        <v>205</v>
      </c>
      <c r="ID42" s="204">
        <v>15</v>
      </c>
      <c r="IE42" s="156" t="s">
        <v>3018</v>
      </c>
      <c r="IH42" s="169" t="s">
        <v>1200</v>
      </c>
      <c r="II42" s="97">
        <f>SUM(IK7:IK9)</f>
        <v>1946.12</v>
      </c>
      <c r="IJ42" s="204">
        <v>40</v>
      </c>
      <c r="IK42" s="156" t="s">
        <v>3019</v>
      </c>
      <c r="IP42" s="204">
        <v>30</v>
      </c>
      <c r="IQ42" s="244" t="s">
        <v>3020</v>
      </c>
      <c r="IV42" s="189"/>
      <c r="IW42" s="107"/>
      <c r="JA42" s="235"/>
      <c r="JB42" s="204">
        <v>30</v>
      </c>
      <c r="JC42" s="244" t="s">
        <v>3021</v>
      </c>
      <c r="JG42" s="233"/>
      <c r="JH42" s="75" t="s">
        <v>3022</v>
      </c>
      <c r="JI42" s="107">
        <v>751</v>
      </c>
      <c r="JM42" s="235"/>
      <c r="JN42" s="189" t="s">
        <v>2927</v>
      </c>
      <c r="JO42" s="107">
        <v>15.79</v>
      </c>
      <c r="JT42" s="265" t="s">
        <v>3023</v>
      </c>
      <c r="JU42" s="277">
        <v>89.8</v>
      </c>
      <c r="JX42" s="160" t="s">
        <v>1237</v>
      </c>
      <c r="JY42" s="51">
        <f>KA11</f>
        <v>5.99</v>
      </c>
      <c r="JZ42" s="153" t="s">
        <v>3024</v>
      </c>
      <c r="KA42" s="107">
        <v>38.200000000000003</v>
      </c>
      <c r="KE42" s="55"/>
      <c r="KF42" s="292" t="s">
        <v>3025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3026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2914</v>
      </c>
      <c r="KV42" s="53" t="s">
        <v>2222</v>
      </c>
      <c r="KW42" s="53"/>
      <c r="KX42" s="153" t="s">
        <v>3027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3028</v>
      </c>
      <c r="LI42" s="55"/>
      <c r="LJ42" s="204">
        <v>10</v>
      </c>
      <c r="LK42" s="244" t="s">
        <v>3029</v>
      </c>
      <c r="LL42" s="55" t="s">
        <v>2956</v>
      </c>
      <c r="LO42" s="62"/>
      <c r="LP42" s="204">
        <v>40</v>
      </c>
      <c r="LQ42" s="283" t="s">
        <v>3030</v>
      </c>
      <c r="LV42" s="204">
        <v>20</v>
      </c>
      <c r="LW42" s="283" t="s">
        <v>3031</v>
      </c>
      <c r="LZ42" s="158" t="s">
        <v>3032</v>
      </c>
      <c r="MA42" s="317">
        <v>200</v>
      </c>
      <c r="MB42" s="204">
        <v>20</v>
      </c>
      <c r="MC42" s="283" t="s">
        <v>3033</v>
      </c>
      <c r="MF42" s="332" t="s">
        <v>1200</v>
      </c>
      <c r="MG42" s="63">
        <f>SUM(MI6:MI10)</f>
        <v>7300.16</v>
      </c>
      <c r="MH42" s="73" t="s">
        <v>3034</v>
      </c>
      <c r="MI42" s="63">
        <v>14.9</v>
      </c>
      <c r="MJ42" s="14" t="s">
        <v>372</v>
      </c>
      <c r="ML42" s="328" t="s">
        <v>2576</v>
      </c>
      <c r="MM42" s="316">
        <f>SUM(MO25:MO36)</f>
        <v>409.42999999999995</v>
      </c>
      <c r="MN42" s="178" t="s">
        <v>2478</v>
      </c>
      <c r="MO42" s="22">
        <f>MK28+MM44-MQ28</f>
        <v>140</v>
      </c>
      <c r="MP42" s="14" t="s">
        <v>2879</v>
      </c>
      <c r="MS42" s="62"/>
      <c r="MT42" s="606" t="s">
        <v>3446</v>
      </c>
      <c r="MU42" s="602">
        <v>59</v>
      </c>
      <c r="MV42" s="601" t="s">
        <v>2879</v>
      </c>
    </row>
    <row r="43" spans="1:363">
      <c r="K43" s="566" t="s">
        <v>2642</v>
      </c>
      <c r="L43" s="14">
        <v>100</v>
      </c>
      <c r="AO43" s="84" t="s">
        <v>3035</v>
      </c>
      <c r="AP43" s="14">
        <v>54</v>
      </c>
      <c r="AU43" s="14" t="s">
        <v>3036</v>
      </c>
      <c r="AV43" s="14">
        <v>180</v>
      </c>
      <c r="BE43" s="14" t="s">
        <v>2848</v>
      </c>
      <c r="BF43" s="14">
        <v>300</v>
      </c>
      <c r="BW43" s="50" t="s">
        <v>2848</v>
      </c>
      <c r="BX43" s="50">
        <v>150</v>
      </c>
      <c r="CC43" s="50" t="s">
        <v>2798</v>
      </c>
      <c r="CD43" s="50">
        <v>500</v>
      </c>
      <c r="CI43" s="50" t="s">
        <v>3037</v>
      </c>
      <c r="CJ43" s="50">
        <v>0</v>
      </c>
      <c r="CO43" s="50" t="s">
        <v>2798</v>
      </c>
      <c r="CP43" s="50">
        <v>500</v>
      </c>
      <c r="CU43" s="50" t="s">
        <v>3038</v>
      </c>
      <c r="CV43" s="50">
        <v>30</v>
      </c>
      <c r="DA43" s="50" t="s">
        <v>3039</v>
      </c>
      <c r="DB43" s="50">
        <v>127.5</v>
      </c>
      <c r="DG43" s="124" t="s">
        <v>3040</v>
      </c>
      <c r="DH43" s="63">
        <v>65.319999999999993</v>
      </c>
      <c r="DI43" s="117" t="s">
        <v>3041</v>
      </c>
      <c r="DJ43" s="583" t="s">
        <v>3042</v>
      </c>
      <c r="DM43" s="128" t="s">
        <v>3043</v>
      </c>
      <c r="DN43" s="130"/>
      <c r="DP43" s="14"/>
      <c r="DS43" s="128" t="s">
        <v>3044</v>
      </c>
      <c r="DT43" s="130"/>
      <c r="DY43" s="14" t="s">
        <v>2809</v>
      </c>
      <c r="DZ43" s="14">
        <v>734.46</v>
      </c>
      <c r="EL43" s="67" t="s">
        <v>3045</v>
      </c>
      <c r="EM43" s="55">
        <v>29.9</v>
      </c>
      <c r="ER43" s="67" t="s">
        <v>3046</v>
      </c>
      <c r="ES43" s="14">
        <f>11.88+1.49+3.62</f>
        <v>16.990000000000002</v>
      </c>
      <c r="EX43" s="67" t="s">
        <v>3047</v>
      </c>
      <c r="EY43" s="67">
        <f>560-555.22</f>
        <v>4.7799999999999727</v>
      </c>
      <c r="EZ43" s="14" t="s">
        <v>2574</v>
      </c>
      <c r="FD43" s="14" t="s">
        <v>2809</v>
      </c>
      <c r="FE43" s="55">
        <v>790</v>
      </c>
      <c r="FF43" s="14" t="s">
        <v>372</v>
      </c>
      <c r="FJ43" s="14" t="s">
        <v>2809</v>
      </c>
      <c r="FK43" s="55">
        <v>990</v>
      </c>
      <c r="FL43" s="75"/>
      <c r="FM43" s="103"/>
      <c r="FP43" s="156" t="s">
        <v>2419</v>
      </c>
      <c r="FQ43" s="158"/>
      <c r="FV43" s="176" t="s">
        <v>3048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3049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3050</v>
      </c>
      <c r="KA43" s="107">
        <v>10.5</v>
      </c>
      <c r="KE43" s="55" t="s">
        <v>2951</v>
      </c>
      <c r="KF43" s="295" t="s">
        <v>3051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2916</v>
      </c>
      <c r="KN43" s="14" t="s">
        <v>3003</v>
      </c>
      <c r="KR43" s="204">
        <v>12.4</v>
      </c>
      <c r="KS43" s="244" t="s">
        <v>3052</v>
      </c>
      <c r="KT43" s="55" t="s">
        <v>2956</v>
      </c>
      <c r="KV43" s="184" t="s">
        <v>1200</v>
      </c>
      <c r="KW43" s="97">
        <f>SUM(KY7:KY8)</f>
        <v>1950.12</v>
      </c>
      <c r="KX43" s="153" t="s">
        <v>3053</v>
      </c>
      <c r="KY43" s="49">
        <f>26.4+39.9</f>
        <v>66.3</v>
      </c>
      <c r="KZ43" s="14" t="s">
        <v>3003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3054</v>
      </c>
      <c r="LO43" s="62"/>
      <c r="LP43" s="204">
        <v>10</v>
      </c>
      <c r="LQ43" s="283" t="s">
        <v>3055</v>
      </c>
      <c r="LR43" s="55"/>
      <c r="LU43" s="62"/>
      <c r="LV43" s="204">
        <v>50</v>
      </c>
      <c r="LW43" s="283" t="s">
        <v>3056</v>
      </c>
      <c r="LX43" s="55"/>
      <c r="MB43" s="204">
        <v>10</v>
      </c>
      <c r="MC43" s="283" t="s">
        <v>3057</v>
      </c>
      <c r="MF43" s="161" t="s">
        <v>2588</v>
      </c>
      <c r="MG43" s="63">
        <v>0</v>
      </c>
      <c r="MH43" s="121" t="s">
        <v>3058</v>
      </c>
      <c r="MI43" s="63">
        <v>118.59</v>
      </c>
      <c r="MJ43" s="14" t="s">
        <v>2879</v>
      </c>
      <c r="MN43" s="204">
        <v>40</v>
      </c>
      <c r="MO43" s="22" t="s">
        <v>2916</v>
      </c>
      <c r="MP43" s="14" t="s">
        <v>2917</v>
      </c>
      <c r="MT43" s="606"/>
      <c r="MU43" s="248"/>
      <c r="MV43" s="601" t="s">
        <v>2917</v>
      </c>
    </row>
    <row r="44" spans="1:363" ht="13.5" thickBot="1">
      <c r="W44" s="576" t="s">
        <v>1395</v>
      </c>
      <c r="X44" s="14">
        <v>600</v>
      </c>
      <c r="AO44" s="84" t="s">
        <v>3059</v>
      </c>
      <c r="AP44" s="14">
        <v>95</v>
      </c>
      <c r="AU44" s="14" t="s">
        <v>3060</v>
      </c>
      <c r="AV44" s="14">
        <v>-180</v>
      </c>
      <c r="CC44" s="50" t="s">
        <v>2848</v>
      </c>
      <c r="CD44" s="50">
        <v>150</v>
      </c>
      <c r="CI44" s="50" t="s">
        <v>3061</v>
      </c>
      <c r="CJ44" s="50">
        <v>300</v>
      </c>
      <c r="CO44" s="50" t="s">
        <v>2848</v>
      </c>
      <c r="CP44" s="50">
        <v>400</v>
      </c>
      <c r="CU44" s="50" t="s">
        <v>2798</v>
      </c>
      <c r="CV44" s="50">
        <v>500</v>
      </c>
      <c r="DA44" s="50" t="s">
        <v>3062</v>
      </c>
      <c r="DB44" s="50">
        <v>114.55</v>
      </c>
      <c r="DG44" s="124" t="s">
        <v>3063</v>
      </c>
      <c r="DH44" s="63">
        <v>95</v>
      </c>
      <c r="DI44" s="117" t="s">
        <v>3064</v>
      </c>
      <c r="DJ44" s="583" t="s">
        <v>3042</v>
      </c>
      <c r="DL44" s="67"/>
      <c r="DM44" s="128" t="s">
        <v>3065</v>
      </c>
      <c r="DN44" s="130"/>
      <c r="DO44" s="55"/>
      <c r="DP44" s="139">
        <f>-DP10</f>
        <v>2524</v>
      </c>
      <c r="DR44" s="67"/>
      <c r="DS44" s="128" t="s">
        <v>3066</v>
      </c>
      <c r="DT44" s="130"/>
      <c r="DY44" s="14" t="s">
        <v>3067</v>
      </c>
      <c r="EA44" s="14" t="s">
        <v>3068</v>
      </c>
      <c r="EL44" s="67" t="s">
        <v>3069</v>
      </c>
      <c r="EM44" s="67">
        <v>35.799999999999997</v>
      </c>
      <c r="ER44" s="67" t="s">
        <v>3070</v>
      </c>
      <c r="ES44" s="14">
        <v>69.7</v>
      </c>
      <c r="EX44" s="67" t="s">
        <v>3071</v>
      </c>
      <c r="EY44" s="67">
        <v>8.64</v>
      </c>
      <c r="FD44" s="14" t="s">
        <v>3072</v>
      </c>
      <c r="FE44" s="67"/>
      <c r="FF44" s="14" t="s">
        <v>2556</v>
      </c>
      <c r="FJ44" s="14" t="s">
        <v>3073</v>
      </c>
      <c r="FK44" s="67"/>
      <c r="FL44" s="67"/>
      <c r="FP44" s="156" t="s">
        <v>3074</v>
      </c>
      <c r="FQ44" s="158"/>
      <c r="GB44" s="176" t="s">
        <v>3075</v>
      </c>
      <c r="GC44" s="67">
        <v>11</v>
      </c>
      <c r="GH44" s="176" t="s">
        <v>3076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3077</v>
      </c>
      <c r="GZ44" s="158" t="s">
        <v>3078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3079</v>
      </c>
      <c r="HY44" s="166">
        <v>98.89</v>
      </c>
      <c r="HZ44" s="14" t="s">
        <v>372</v>
      </c>
      <c r="ID44" s="204">
        <v>10</v>
      </c>
      <c r="IE44" s="156" t="s">
        <v>3080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3081</v>
      </c>
      <c r="IP44" s="204">
        <v>20</v>
      </c>
      <c r="IQ44" s="244" t="s">
        <v>3082</v>
      </c>
      <c r="IV44" s="189"/>
      <c r="IW44" s="107"/>
      <c r="JB44" s="204">
        <v>13</v>
      </c>
      <c r="JC44" s="244" t="s">
        <v>3083</v>
      </c>
      <c r="JG44" s="233"/>
      <c r="JH44" s="75" t="s">
        <v>1694</v>
      </c>
      <c r="JI44" s="107">
        <v>12.34</v>
      </c>
      <c r="JN44" s="75" t="s">
        <v>3084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3085</v>
      </c>
      <c r="KA44" s="49">
        <f>47.8+1.2+2.5+3.2</f>
        <v>54.7</v>
      </c>
      <c r="KE44" s="55"/>
      <c r="KL44" s="204">
        <v>9</v>
      </c>
      <c r="KM44" s="244" t="s">
        <v>3086</v>
      </c>
      <c r="KN44" s="14" t="s">
        <v>3028</v>
      </c>
      <c r="KP44" s="158" t="s">
        <v>3087</v>
      </c>
      <c r="KQ44" s="290">
        <v>100</v>
      </c>
      <c r="KR44" s="204">
        <v>10</v>
      </c>
      <c r="KS44" s="244" t="s">
        <v>3088</v>
      </c>
      <c r="KV44" s="177" t="s">
        <v>2581</v>
      </c>
      <c r="KW44" s="97">
        <f>SUM(KY24:KY24)</f>
        <v>1196.72</v>
      </c>
      <c r="KX44" s="153" t="s">
        <v>3089</v>
      </c>
      <c r="KY44" s="49">
        <v>6</v>
      </c>
      <c r="KZ44" s="14" t="s">
        <v>3028</v>
      </c>
      <c r="LD44" s="204">
        <v>22.2</v>
      </c>
      <c r="LE44" s="283" t="s">
        <v>3090</v>
      </c>
      <c r="LJ44" s="204">
        <v>30</v>
      </c>
      <c r="LK44" s="244" t="s">
        <v>2419</v>
      </c>
      <c r="LL44" s="14" t="s">
        <v>3003</v>
      </c>
      <c r="LP44" s="204">
        <v>10</v>
      </c>
      <c r="LQ44" s="283" t="s">
        <v>1395</v>
      </c>
      <c r="LU44" s="62"/>
      <c r="LV44" s="204">
        <v>20</v>
      </c>
      <c r="LW44" s="283" t="s">
        <v>3091</v>
      </c>
      <c r="MA44" s="62"/>
      <c r="MB44" s="204">
        <v>10</v>
      </c>
      <c r="MC44" s="283" t="s">
        <v>3092</v>
      </c>
      <c r="MF44" s="50" t="s">
        <v>2631</v>
      </c>
      <c r="MG44" s="49">
        <f>SUM(MI11:MI11)</f>
        <v>1526</v>
      </c>
      <c r="MH44" s="121" t="s">
        <v>3058</v>
      </c>
      <c r="MI44" s="63">
        <v>34.200000000000003</v>
      </c>
      <c r="MJ44" s="14" t="s">
        <v>2917</v>
      </c>
      <c r="ML44" s="158" t="s">
        <v>3424</v>
      </c>
      <c r="MM44" s="317">
        <v>150</v>
      </c>
      <c r="MN44" s="204">
        <v>28.7</v>
      </c>
      <c r="MO44" s="283" t="s">
        <v>3414</v>
      </c>
      <c r="MT44" s="606"/>
      <c r="MU44" s="63"/>
    </row>
    <row r="45" spans="1:363">
      <c r="W45" s="566" t="s">
        <v>2642</v>
      </c>
      <c r="X45" s="14">
        <v>100</v>
      </c>
      <c r="AU45" s="14" t="s">
        <v>3093</v>
      </c>
      <c r="AV45" s="14">
        <f>53+76.3</f>
        <v>129.30000000000001</v>
      </c>
      <c r="CI45" s="50" t="s">
        <v>2798</v>
      </c>
      <c r="CJ45" s="50">
        <v>400</v>
      </c>
      <c r="CO45" s="50" t="s">
        <v>3094</v>
      </c>
      <c r="CU45" s="50" t="s">
        <v>2848</v>
      </c>
      <c r="CV45" s="50">
        <v>200</v>
      </c>
      <c r="DA45" s="50" t="s">
        <v>2798</v>
      </c>
      <c r="DB45" s="50">
        <v>700</v>
      </c>
      <c r="DG45" s="127" t="s">
        <v>2807</v>
      </c>
      <c r="DH45" s="129">
        <v>350</v>
      </c>
      <c r="DJ45" s="62"/>
      <c r="DL45" s="67"/>
      <c r="DM45" s="67" t="s">
        <v>3095</v>
      </c>
      <c r="DN45" s="63">
        <v>22.9</v>
      </c>
      <c r="DO45" s="55"/>
      <c r="DP45" s="139">
        <v>34.799999999999997</v>
      </c>
      <c r="DR45" s="67"/>
      <c r="DS45" s="128" t="s">
        <v>3096</v>
      </c>
      <c r="DT45" s="130"/>
      <c r="DU45" s="110"/>
      <c r="DY45" s="14" t="s">
        <v>2889</v>
      </c>
      <c r="DZ45" s="14">
        <v>70</v>
      </c>
      <c r="EL45" s="14" t="s">
        <v>3097</v>
      </c>
      <c r="EM45" s="14">
        <v>19.899999999999999</v>
      </c>
      <c r="ET45" s="110"/>
      <c r="EX45" s="67" t="s">
        <v>3098</v>
      </c>
      <c r="EY45" s="67">
        <f>7.3+13+10.5+10.8</f>
        <v>41.6</v>
      </c>
      <c r="FD45" s="14" t="s">
        <v>2889</v>
      </c>
      <c r="FE45" s="14">
        <v>30</v>
      </c>
      <c r="FF45" s="14" t="s">
        <v>2554</v>
      </c>
      <c r="FJ45" s="14" t="s">
        <v>2889</v>
      </c>
      <c r="FK45" s="14">
        <v>80</v>
      </c>
      <c r="FL45" s="67"/>
      <c r="FP45" s="67" t="s">
        <v>3099</v>
      </c>
      <c r="FQ45" s="14">
        <v>24</v>
      </c>
      <c r="FV45" s="14" t="s">
        <v>2809</v>
      </c>
      <c r="FW45" s="55">
        <v>646</v>
      </c>
      <c r="FX45" s="110"/>
      <c r="GB45" s="176" t="s">
        <v>3100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3101</v>
      </c>
      <c r="GU45" s="67">
        <v>70</v>
      </c>
      <c r="GZ45" s="181">
        <v>60</v>
      </c>
      <c r="HA45" s="156" t="s">
        <v>2419</v>
      </c>
      <c r="HF45" s="14" t="s">
        <v>3102</v>
      </c>
      <c r="HG45" s="67">
        <v>90</v>
      </c>
      <c r="HX45" s="215" t="s">
        <v>3103</v>
      </c>
      <c r="HY45" s="215"/>
      <c r="HZ45" s="14" t="s">
        <v>197</v>
      </c>
      <c r="ID45" s="204">
        <f>20+9</f>
        <v>29</v>
      </c>
      <c r="IE45" s="156" t="s">
        <v>3104</v>
      </c>
      <c r="IH45" s="175" t="s">
        <v>1237</v>
      </c>
      <c r="II45" s="51">
        <f>SUM(IK10:IK11)</f>
        <v>3467.75</v>
      </c>
      <c r="IJ45" s="204">
        <v>20</v>
      </c>
      <c r="IK45" s="156" t="s">
        <v>3105</v>
      </c>
      <c r="IO45" s="233"/>
      <c r="IP45" s="204">
        <v>12</v>
      </c>
      <c r="IQ45" s="244" t="s">
        <v>3106</v>
      </c>
      <c r="IV45" s="196"/>
      <c r="IW45" s="245"/>
      <c r="JB45" s="243" t="s">
        <v>3107</v>
      </c>
      <c r="JC45" s="248">
        <v>18</v>
      </c>
      <c r="JG45" s="235"/>
      <c r="JH45" s="189" t="s">
        <v>3108</v>
      </c>
      <c r="JI45" s="107">
        <v>65</v>
      </c>
      <c r="JN45" s="14" t="s">
        <v>3109</v>
      </c>
      <c r="JO45" s="107">
        <v>120.36</v>
      </c>
      <c r="JT45" s="269" t="s">
        <v>3110</v>
      </c>
      <c r="JU45" s="279">
        <v>27.83</v>
      </c>
      <c r="JX45" s="153" t="s">
        <v>2429</v>
      </c>
      <c r="JY45" s="51">
        <f>SUM(KA34:KA45)</f>
        <v>681.71</v>
      </c>
      <c r="JZ45" s="153" t="s">
        <v>3111</v>
      </c>
      <c r="KA45" s="107">
        <v>26.5</v>
      </c>
      <c r="KE45" s="55"/>
      <c r="KJ45" s="158" t="s">
        <v>3112</v>
      </c>
      <c r="KK45" s="290">
        <v>250</v>
      </c>
      <c r="KL45" s="204">
        <v>10</v>
      </c>
      <c r="KM45" s="244" t="s">
        <v>3113</v>
      </c>
      <c r="KR45" s="204">
        <f>10+10+5+5</f>
        <v>30</v>
      </c>
      <c r="KS45" s="244" t="s">
        <v>3114</v>
      </c>
      <c r="KT45" s="14" t="s">
        <v>3003</v>
      </c>
      <c r="KV45" s="293" t="s">
        <v>2631</v>
      </c>
      <c r="KW45" s="51">
        <v>0</v>
      </c>
      <c r="KX45" s="153" t="s">
        <v>3115</v>
      </c>
      <c r="KY45" s="49">
        <v>7.9</v>
      </c>
      <c r="LB45" s="158" t="s">
        <v>3116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3117</v>
      </c>
      <c r="LL45" s="14" t="s">
        <v>3028</v>
      </c>
      <c r="LP45" s="71" t="s">
        <v>3118</v>
      </c>
      <c r="LQ45" s="248">
        <f>212.55-160-14.41</f>
        <v>38.140000000000015</v>
      </c>
      <c r="LV45" s="204">
        <v>10</v>
      </c>
      <c r="LW45" s="283" t="s">
        <v>3119</v>
      </c>
      <c r="MA45" s="62"/>
      <c r="MB45" s="204">
        <v>10</v>
      </c>
      <c r="MC45" s="283" t="s">
        <v>3120</v>
      </c>
      <c r="MF45" s="153" t="s">
        <v>2680</v>
      </c>
      <c r="MG45" s="49">
        <f>SUM(MI12:MI18)</f>
        <v>899.24</v>
      </c>
      <c r="MH45" s="121" t="s">
        <v>2694</v>
      </c>
      <c r="MI45" s="63">
        <v>117.18</v>
      </c>
      <c r="MN45" s="204">
        <v>8</v>
      </c>
      <c r="MO45" s="283" t="s">
        <v>3415</v>
      </c>
      <c r="MP45" s="14" t="s">
        <v>3003</v>
      </c>
      <c r="MU45" s="245"/>
      <c r="MV45" s="601" t="s">
        <v>3003</v>
      </c>
    </row>
    <row r="46" spans="1:363">
      <c r="AO46" s="14" t="s">
        <v>3121</v>
      </c>
      <c r="AP46" s="14">
        <f>129-18</f>
        <v>111</v>
      </c>
      <c r="AU46" s="14" t="s">
        <v>3122</v>
      </c>
      <c r="AV46" s="14">
        <v>25</v>
      </c>
      <c r="CI46" s="50" t="s">
        <v>2848</v>
      </c>
      <c r="CJ46" s="50">
        <v>150</v>
      </c>
      <c r="CU46" s="50" t="s">
        <v>3123</v>
      </c>
      <c r="DG46" s="128" t="s">
        <v>3124</v>
      </c>
      <c r="DH46" s="130"/>
      <c r="DI46" s="566" t="s">
        <v>372</v>
      </c>
      <c r="DL46" s="67"/>
      <c r="DM46" s="67" t="s">
        <v>3125</v>
      </c>
      <c r="DN46" s="63">
        <v>36.299999999999997</v>
      </c>
      <c r="DO46" s="55"/>
      <c r="DP46" s="139">
        <v>1.93</v>
      </c>
      <c r="DR46" s="67"/>
      <c r="DS46" s="128" t="s">
        <v>3126</v>
      </c>
      <c r="DT46" s="130"/>
      <c r="EL46" s="67" t="s">
        <v>3127</v>
      </c>
      <c r="EM46" s="67">
        <v>29</v>
      </c>
      <c r="ER46" s="14" t="s">
        <v>2809</v>
      </c>
      <c r="ES46" s="55">
        <v>840</v>
      </c>
      <c r="EX46" s="67" t="s">
        <v>3128</v>
      </c>
      <c r="EY46" s="67">
        <v>15.19</v>
      </c>
      <c r="FF46" s="14" t="s">
        <v>197</v>
      </c>
      <c r="FL46" s="14" t="s">
        <v>372</v>
      </c>
      <c r="FP46" s="55" t="s">
        <v>2926</v>
      </c>
      <c r="FQ46" s="55">
        <v>50</v>
      </c>
      <c r="FR46" s="110"/>
      <c r="FV46" s="14" t="s">
        <v>3129</v>
      </c>
      <c r="FW46" s="67"/>
      <c r="GB46" s="176" t="s">
        <v>3130</v>
      </c>
      <c r="GC46" s="67">
        <v>20</v>
      </c>
      <c r="GN46" s="158" t="s">
        <v>3131</v>
      </c>
      <c r="GO46" s="172">
        <f>GK17+GN45-GQ17</f>
        <v>104</v>
      </c>
      <c r="GP46" s="14" t="s">
        <v>2447</v>
      </c>
      <c r="GT46" s="176" t="s">
        <v>3132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3133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3134</v>
      </c>
      <c r="IO46" s="233"/>
      <c r="IP46" s="204">
        <v>20</v>
      </c>
      <c r="IQ46" s="244" t="s">
        <v>2626</v>
      </c>
      <c r="IV46" s="196"/>
      <c r="IW46" s="155"/>
      <c r="JB46" s="75" t="s">
        <v>3135</v>
      </c>
      <c r="JC46" s="14">
        <v>86.8</v>
      </c>
      <c r="JH46" s="75" t="s">
        <v>3136</v>
      </c>
      <c r="JI46" s="107">
        <v>13.3</v>
      </c>
      <c r="JN46" s="189" t="s">
        <v>3137</v>
      </c>
      <c r="JO46" s="107">
        <v>2.79</v>
      </c>
      <c r="JT46" s="269" t="s">
        <v>3138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3139</v>
      </c>
      <c r="KQ46" s="55"/>
      <c r="KR46" s="14" t="s">
        <v>3140</v>
      </c>
      <c r="KS46" s="14">
        <v>120</v>
      </c>
      <c r="KT46" s="14" t="s">
        <v>3028</v>
      </c>
      <c r="KV46" s="161" t="s">
        <v>2911</v>
      </c>
      <c r="KW46" s="51">
        <f>SUM(KY9:KY14)</f>
        <v>1272.93</v>
      </c>
      <c r="KX46" s="153" t="s">
        <v>3141</v>
      </c>
      <c r="KY46" s="107">
        <f>40.5+66.1</f>
        <v>106.6</v>
      </c>
      <c r="LD46" s="204">
        <v>20</v>
      </c>
      <c r="LE46" s="244" t="s">
        <v>3142</v>
      </c>
      <c r="LJ46" s="204">
        <v>7</v>
      </c>
      <c r="LK46" s="244" t="s">
        <v>3143</v>
      </c>
      <c r="LP46" s="71" t="s">
        <v>3144</v>
      </c>
      <c r="LQ46" s="14">
        <v>300</v>
      </c>
      <c r="LV46" s="71" t="s">
        <v>3145</v>
      </c>
      <c r="LW46" s="248">
        <v>3</v>
      </c>
      <c r="MB46" s="204">
        <v>10</v>
      </c>
      <c r="MC46" s="334" t="s">
        <v>3146</v>
      </c>
      <c r="MF46" s="294" t="s">
        <v>2689</v>
      </c>
      <c r="MG46" s="49">
        <f>SUM(MI41:MI42)</f>
        <v>1014.9799999999999</v>
      </c>
      <c r="MH46" s="121" t="s">
        <v>3147</v>
      </c>
      <c r="MI46" s="63">
        <f>208+49</f>
        <v>257</v>
      </c>
      <c r="MM46" s="62"/>
      <c r="MN46" s="204">
        <v>60</v>
      </c>
      <c r="MO46" s="611" t="s">
        <v>554</v>
      </c>
      <c r="MP46" s="14" t="s">
        <v>3028</v>
      </c>
      <c r="MU46" s="602"/>
      <c r="MV46" s="601" t="s">
        <v>3028</v>
      </c>
      <c r="MY46" s="592"/>
    </row>
    <row r="47" spans="1:363">
      <c r="AO47" s="14" t="s">
        <v>3149</v>
      </c>
      <c r="AP47" s="14">
        <v>25</v>
      </c>
      <c r="BX47" s="90"/>
      <c r="CD47" s="90"/>
      <c r="CJ47" s="90"/>
      <c r="DG47" s="128" t="s">
        <v>3150</v>
      </c>
      <c r="DH47" s="130"/>
      <c r="DI47" s="566" t="s">
        <v>2334</v>
      </c>
      <c r="DJ47" s="106"/>
      <c r="DL47" s="67"/>
      <c r="DM47" s="67" t="s">
        <v>3151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3152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3153</v>
      </c>
      <c r="FQ47" s="55">
        <v>4.41</v>
      </c>
      <c r="FV47" s="14" t="s">
        <v>3154</v>
      </c>
      <c r="FW47" s="14">
        <v>52.15</v>
      </c>
      <c r="GB47" s="176" t="s">
        <v>3155</v>
      </c>
      <c r="GC47" s="67">
        <v>30.35</v>
      </c>
      <c r="GH47" s="14" t="s">
        <v>2809</v>
      </c>
      <c r="GI47" s="55">
        <v>638</v>
      </c>
      <c r="GN47" s="156" t="s">
        <v>3156</v>
      </c>
      <c r="GO47" s="158"/>
      <c r="GP47" s="14" t="s">
        <v>2574</v>
      </c>
      <c r="GT47" s="176" t="s">
        <v>3157</v>
      </c>
      <c r="GU47" s="67">
        <v>32.1</v>
      </c>
      <c r="GZ47" s="182">
        <v>30</v>
      </c>
      <c r="HA47" s="156" t="s">
        <v>3158</v>
      </c>
      <c r="HX47" s="48" t="s">
        <v>3159</v>
      </c>
      <c r="HY47" s="14">
        <f>40+150</f>
        <v>190</v>
      </c>
      <c r="ID47" s="189" t="s">
        <v>3160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3161</v>
      </c>
      <c r="IO47" s="235"/>
      <c r="IP47" s="171">
        <v>10</v>
      </c>
      <c r="IQ47" s="244" t="s">
        <v>3162</v>
      </c>
      <c r="IV47" s="196"/>
      <c r="IW47" s="196"/>
      <c r="JB47" s="75" t="s">
        <v>3163</v>
      </c>
      <c r="JC47" s="107">
        <v>36.9</v>
      </c>
      <c r="JH47" s="196" t="s">
        <v>3164</v>
      </c>
      <c r="JI47" s="155">
        <v>3</v>
      </c>
      <c r="JN47" s="75" t="s">
        <v>3165</v>
      </c>
      <c r="JO47" s="107">
        <v>8.5500000000000007</v>
      </c>
      <c r="JT47" s="269" t="s">
        <v>3166</v>
      </c>
      <c r="JU47" s="279">
        <v>19.46</v>
      </c>
      <c r="JZ47" s="14" t="s">
        <v>3167</v>
      </c>
      <c r="KA47" s="63">
        <v>300</v>
      </c>
      <c r="KE47" s="55"/>
      <c r="KK47" s="55"/>
      <c r="KL47" s="204">
        <v>24</v>
      </c>
      <c r="KM47" s="244" t="s">
        <v>3168</v>
      </c>
      <c r="KQ47" s="55"/>
      <c r="KR47" s="14" t="s">
        <v>3169</v>
      </c>
      <c r="KS47" s="14">
        <v>82.45</v>
      </c>
      <c r="KV47" s="92" t="s">
        <v>2738</v>
      </c>
      <c r="KW47" s="305">
        <f>SUM(KY15:KY23)</f>
        <v>1574</v>
      </c>
      <c r="KX47" s="153" t="s">
        <v>3170</v>
      </c>
      <c r="KY47" s="107">
        <v>5.8</v>
      </c>
      <c r="LB47" s="14" t="s">
        <v>3171</v>
      </c>
      <c r="LC47" s="55"/>
      <c r="LD47" s="204">
        <v>10</v>
      </c>
      <c r="LE47" s="244" t="s">
        <v>2626</v>
      </c>
      <c r="LJ47" s="204">
        <v>50</v>
      </c>
      <c r="LK47" s="21" t="s">
        <v>3139</v>
      </c>
      <c r="LP47" s="14" t="s">
        <v>3172</v>
      </c>
      <c r="LQ47" s="14">
        <v>27.5</v>
      </c>
      <c r="LV47" s="71"/>
      <c r="MB47" s="204">
        <v>10</v>
      </c>
      <c r="MC47" s="283" t="s">
        <v>3173</v>
      </c>
      <c r="MF47" s="121" t="s">
        <v>2791</v>
      </c>
      <c r="MG47" s="255">
        <f>SUM(MI43:MI46)</f>
        <v>526.97</v>
      </c>
      <c r="MH47" s="50" t="s">
        <v>2693</v>
      </c>
      <c r="MI47" s="107">
        <f>4+4+6</f>
        <v>14</v>
      </c>
      <c r="MM47" s="62"/>
      <c r="MN47" s="71" t="s">
        <v>3148</v>
      </c>
      <c r="MO47" s="248">
        <v>425.1</v>
      </c>
    </row>
    <row r="48" spans="1:363">
      <c r="AO48" s="14" t="s">
        <v>3174</v>
      </c>
      <c r="AP48" s="14">
        <v>508</v>
      </c>
      <c r="AU48" s="14" t="s">
        <v>2748</v>
      </c>
      <c r="AV48" s="14">
        <v>200</v>
      </c>
      <c r="DG48" s="128" t="s">
        <v>3175</v>
      </c>
      <c r="DH48" s="130"/>
      <c r="DI48" s="55" t="s">
        <v>197</v>
      </c>
      <c r="DJ48" s="63"/>
      <c r="DM48" s="67" t="s">
        <v>3176</v>
      </c>
      <c r="DN48" s="63">
        <v>34</v>
      </c>
      <c r="DO48" s="55"/>
      <c r="DP48" s="139">
        <v>21.78</v>
      </c>
      <c r="DS48" s="67" t="s">
        <v>3177</v>
      </c>
      <c r="DT48" s="63">
        <v>34.799999999999997</v>
      </c>
      <c r="EL48" s="14" t="s">
        <v>2809</v>
      </c>
      <c r="EM48" s="14">
        <v>870</v>
      </c>
      <c r="EN48" s="14" t="s">
        <v>3068</v>
      </c>
      <c r="ER48" s="14" t="s">
        <v>2889</v>
      </c>
      <c r="ES48" s="14">
        <v>60</v>
      </c>
      <c r="EX48" s="14" t="s">
        <v>2809</v>
      </c>
      <c r="EY48" s="55">
        <v>940</v>
      </c>
      <c r="FF48" s="14" t="s">
        <v>2574</v>
      </c>
      <c r="FL48" s="14" t="s">
        <v>2554</v>
      </c>
      <c r="FP48" s="176" t="s">
        <v>3178</v>
      </c>
      <c r="FQ48" s="67">
        <v>70.3</v>
      </c>
      <c r="FV48" s="14" t="s">
        <v>3179</v>
      </c>
      <c r="GH48" s="14" t="s">
        <v>3180</v>
      </c>
      <c r="GI48" s="67"/>
      <c r="GJ48" s="14" t="s">
        <v>2700</v>
      </c>
      <c r="GN48" s="156" t="s">
        <v>3181</v>
      </c>
      <c r="GO48" s="158"/>
      <c r="GT48" s="176" t="s">
        <v>3095</v>
      </c>
      <c r="GU48" s="14">
        <v>2.66</v>
      </c>
      <c r="GZ48" s="176" t="s">
        <v>3182</v>
      </c>
      <c r="HA48" s="67">
        <v>6</v>
      </c>
      <c r="HB48" s="110"/>
      <c r="HX48" s="216" t="s">
        <v>3183</v>
      </c>
      <c r="HY48" s="166">
        <v>150</v>
      </c>
      <c r="ID48" s="189" t="s">
        <v>3045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3184</v>
      </c>
      <c r="IP48" s="171">
        <f>17+11+6</f>
        <v>34</v>
      </c>
      <c r="IQ48" s="244" t="s">
        <v>3185</v>
      </c>
      <c r="IV48" s="188"/>
      <c r="IW48" s="196"/>
      <c r="JB48" s="75" t="s">
        <v>3136</v>
      </c>
      <c r="JC48" s="107">
        <v>13.3</v>
      </c>
      <c r="JH48" s="196"/>
      <c r="JI48" s="196"/>
      <c r="JN48" s="75" t="s">
        <v>3186</v>
      </c>
      <c r="JO48" s="107">
        <v>10.35</v>
      </c>
      <c r="JS48" s="270" t="s">
        <v>3187</v>
      </c>
      <c r="JT48" s="269" t="s">
        <v>3188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3189</v>
      </c>
      <c r="KR48" s="291" t="s">
        <v>3190</v>
      </c>
      <c r="KS48" s="248">
        <v>50</v>
      </c>
      <c r="KV48" s="294" t="s">
        <v>2680</v>
      </c>
      <c r="KW48" s="51">
        <f>SUM(KY25:KY32)</f>
        <v>699.97</v>
      </c>
      <c r="KX48" s="14" t="s">
        <v>2783</v>
      </c>
      <c r="KY48" s="63">
        <f>400+110</f>
        <v>510</v>
      </c>
      <c r="LB48" s="14" t="s">
        <v>3191</v>
      </c>
      <c r="LC48" s="55"/>
      <c r="LD48" s="204">
        <v>7</v>
      </c>
      <c r="LE48" s="244" t="s">
        <v>3192</v>
      </c>
      <c r="LJ48" s="204">
        <v>40</v>
      </c>
      <c r="LK48" s="21" t="s">
        <v>3193</v>
      </c>
      <c r="LP48" s="71" t="s">
        <v>3194</v>
      </c>
      <c r="LQ48" s="67">
        <v>21.1</v>
      </c>
      <c r="MB48" s="71" t="s">
        <v>3195</v>
      </c>
      <c r="MC48" s="248">
        <v>10.9</v>
      </c>
      <c r="MF48" s="328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3423</v>
      </c>
      <c r="MO48" s="67">
        <v>48</v>
      </c>
    </row>
    <row r="49" spans="41:361">
      <c r="AO49" s="14" t="s">
        <v>3196</v>
      </c>
      <c r="AP49" s="14">
        <f>20*3</f>
        <v>60</v>
      </c>
      <c r="AU49" s="14" t="s">
        <v>2798</v>
      </c>
      <c r="AV49" s="14">
        <v>300</v>
      </c>
      <c r="DF49" s="67"/>
      <c r="DG49" s="128" t="s">
        <v>3197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3198</v>
      </c>
      <c r="EX49" s="14" t="s">
        <v>3199</v>
      </c>
      <c r="EY49" s="67"/>
      <c r="FL49" s="14" t="s">
        <v>197</v>
      </c>
      <c r="FP49" s="176" t="s">
        <v>3200</v>
      </c>
      <c r="FQ49" s="67">
        <v>206</v>
      </c>
      <c r="FV49" s="14" t="s">
        <v>2889</v>
      </c>
      <c r="FW49" s="14">
        <v>48</v>
      </c>
      <c r="GB49" s="14" t="s">
        <v>2809</v>
      </c>
      <c r="GC49" s="55">
        <v>1057</v>
      </c>
      <c r="GH49" s="14" t="s">
        <v>2889</v>
      </c>
      <c r="GI49" s="14">
        <v>72</v>
      </c>
      <c r="GJ49" s="110" t="s">
        <v>3201</v>
      </c>
      <c r="GN49" s="156" t="s">
        <v>3202</v>
      </c>
      <c r="GO49" s="158"/>
      <c r="GT49" s="176" t="s">
        <v>3203</v>
      </c>
      <c r="GU49" s="67">
        <v>60.6</v>
      </c>
      <c r="GV49" s="658" t="s">
        <v>3204</v>
      </c>
      <c r="GZ49" s="14" t="s">
        <v>3205</v>
      </c>
      <c r="HA49" s="184">
        <v>670.00099999999998</v>
      </c>
      <c r="HX49" s="217" t="s">
        <v>3206</v>
      </c>
      <c r="HY49" s="14">
        <f>389.7+107.1</f>
        <v>496.79999999999995</v>
      </c>
      <c r="ID49" s="189" t="s">
        <v>3207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3208</v>
      </c>
      <c r="IV49" s="196"/>
      <c r="IW49" s="164"/>
      <c r="JB49" s="189"/>
      <c r="JC49" s="107"/>
      <c r="JH49" s="188"/>
      <c r="JI49" s="196"/>
      <c r="JN49" s="75" t="s">
        <v>3209</v>
      </c>
      <c r="JO49" s="107">
        <v>15.000999999999999</v>
      </c>
      <c r="JS49" s="271" t="s">
        <v>3210</v>
      </c>
      <c r="JT49" s="269" t="s">
        <v>3211</v>
      </c>
      <c r="JU49" s="281">
        <f>0.29*3</f>
        <v>0.86999999999999988</v>
      </c>
      <c r="JZ49" s="202">
        <v>47.04</v>
      </c>
      <c r="KA49" s="52" t="s">
        <v>3212</v>
      </c>
      <c r="KL49" s="14" t="s">
        <v>3213</v>
      </c>
      <c r="KM49" s="14">
        <v>7.2</v>
      </c>
      <c r="KR49" s="14" t="s">
        <v>3214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3215</v>
      </c>
      <c r="LJ49" s="71" t="s">
        <v>3216</v>
      </c>
      <c r="LK49" s="49">
        <v>28.72</v>
      </c>
      <c r="LP49" s="71" t="s">
        <v>3217</v>
      </c>
      <c r="LQ49" s="63">
        <v>17.5</v>
      </c>
      <c r="LV49" s="71"/>
      <c r="LW49" s="67"/>
      <c r="MB49" s="71" t="s">
        <v>3218</v>
      </c>
      <c r="MC49" s="14">
        <v>14.4</v>
      </c>
      <c r="MF49" s="328" t="s">
        <v>2576</v>
      </c>
      <c r="MG49" s="316">
        <f>SUM(MI25:MI40)</f>
        <v>530.91999999999996</v>
      </c>
      <c r="MH49" s="333">
        <v>34.83</v>
      </c>
      <c r="MI49" s="52"/>
      <c r="MN49" s="71"/>
      <c r="MO49" s="248"/>
    </row>
    <row r="50" spans="41:361">
      <c r="AO50" s="14" t="s">
        <v>3219</v>
      </c>
      <c r="AP50" s="14">
        <v>810</v>
      </c>
      <c r="AU50" s="14" t="s">
        <v>2848</v>
      </c>
      <c r="AV50" s="14">
        <v>100</v>
      </c>
      <c r="DG50" s="128" t="s">
        <v>3220</v>
      </c>
      <c r="DH50" s="130"/>
      <c r="DI50" s="83" t="s">
        <v>2490</v>
      </c>
      <c r="DK50" s="67"/>
      <c r="DM50" s="50" t="s">
        <v>3221</v>
      </c>
      <c r="DN50" s="52">
        <v>700</v>
      </c>
      <c r="DO50" s="55"/>
      <c r="DP50" s="139">
        <v>15.35</v>
      </c>
      <c r="DQ50" s="67"/>
      <c r="DS50" s="50" t="s">
        <v>3222</v>
      </c>
      <c r="DT50" s="125">
        <v>0</v>
      </c>
      <c r="DU50" s="55"/>
      <c r="EL50" s="14" t="s">
        <v>2889</v>
      </c>
      <c r="EM50" s="14">
        <v>100</v>
      </c>
      <c r="EV50" s="17"/>
      <c r="EX50" s="14" t="s">
        <v>2889</v>
      </c>
      <c r="EY50" s="14">
        <v>30</v>
      </c>
      <c r="FL50" s="14" t="s">
        <v>2447</v>
      </c>
      <c r="FP50" s="176" t="s">
        <v>3223</v>
      </c>
      <c r="FQ50" s="67">
        <v>45.6</v>
      </c>
      <c r="GB50" s="14" t="s">
        <v>3224</v>
      </c>
      <c r="GC50" s="67"/>
      <c r="GN50" s="156" t="s">
        <v>3225</v>
      </c>
      <c r="GO50" s="158"/>
      <c r="GP50" s="14" t="s">
        <v>2700</v>
      </c>
      <c r="GT50" s="176" t="s">
        <v>3226</v>
      </c>
      <c r="GU50" s="67">
        <v>14.9</v>
      </c>
      <c r="GV50" s="658"/>
      <c r="GZ50" s="184" t="s">
        <v>3227</v>
      </c>
      <c r="HX50" s="216" t="s">
        <v>3228</v>
      </c>
      <c r="HY50" s="205">
        <v>14.4</v>
      </c>
      <c r="ID50" s="189" t="s">
        <v>3229</v>
      </c>
      <c r="IE50" s="14">
        <v>50</v>
      </c>
      <c r="IH50" s="156" t="s">
        <v>3230</v>
      </c>
      <c r="II50" s="171">
        <v>300</v>
      </c>
      <c r="IJ50" s="171">
        <v>20</v>
      </c>
      <c r="IK50" s="156" t="s">
        <v>3231</v>
      </c>
      <c r="IP50" s="75" t="s">
        <v>3232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3233</v>
      </c>
      <c r="JO50" s="155">
        <v>7.67</v>
      </c>
      <c r="JS50" s="272"/>
      <c r="JT50" s="273" t="s">
        <v>3234</v>
      </c>
      <c r="JU50" s="280">
        <v>21.27</v>
      </c>
      <c r="JZ50" s="178" t="s">
        <v>2478</v>
      </c>
      <c r="KA50" s="203">
        <f>JW19+JY53+JY8-KC19</f>
        <v>280</v>
      </c>
      <c r="KL50" s="14" t="s">
        <v>3235</v>
      </c>
      <c r="KM50" s="14">
        <v>32.4</v>
      </c>
      <c r="KR50" s="50" t="s">
        <v>3236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3237</v>
      </c>
      <c r="LE50" s="248">
        <f>7.77+2.71</f>
        <v>10.48</v>
      </c>
      <c r="LJ50" s="71" t="s">
        <v>3238</v>
      </c>
      <c r="LK50" s="49">
        <v>39.75</v>
      </c>
      <c r="LP50" s="71" t="s">
        <v>3239</v>
      </c>
      <c r="LQ50" s="248">
        <v>5.5</v>
      </c>
      <c r="LV50" s="71"/>
      <c r="LW50" s="63"/>
      <c r="MB50" s="71" t="s">
        <v>3240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1">
      <c r="AO51" s="14" t="s">
        <v>3241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3242</v>
      </c>
      <c r="DO51" s="55"/>
      <c r="DP51" s="139">
        <v>12.7</v>
      </c>
      <c r="DQ51" s="67"/>
      <c r="DS51" s="50" t="s">
        <v>2809</v>
      </c>
      <c r="DT51" s="52">
        <v>590</v>
      </c>
      <c r="FL51" s="14" t="s">
        <v>2574</v>
      </c>
      <c r="FP51" s="75" t="s">
        <v>3243</v>
      </c>
      <c r="FQ51" s="75"/>
      <c r="GB51" s="14" t="s">
        <v>2889</v>
      </c>
      <c r="GC51" s="14">
        <v>100</v>
      </c>
      <c r="GN51" s="176" t="s">
        <v>3244</v>
      </c>
      <c r="GO51" s="67">
        <f>360+18</f>
        <v>378</v>
      </c>
      <c r="GP51" s="110" t="s">
        <v>3201</v>
      </c>
      <c r="GT51" s="176" t="s">
        <v>3245</v>
      </c>
      <c r="GU51" s="67">
        <v>55.29</v>
      </c>
      <c r="GV51" s="658"/>
      <c r="GZ51" s="14" t="s">
        <v>3102</v>
      </c>
      <c r="HA51" s="67">
        <v>50.000999999999998</v>
      </c>
      <c r="HX51" s="217" t="s">
        <v>3246</v>
      </c>
      <c r="HY51" s="14">
        <v>17.88</v>
      </c>
      <c r="ID51" s="189" t="s">
        <v>3247</v>
      </c>
      <c r="IE51" s="14">
        <v>26.8</v>
      </c>
      <c r="IJ51" s="204">
        <v>10</v>
      </c>
      <c r="IK51" s="21" t="s">
        <v>2427</v>
      </c>
      <c r="IP51" s="75" t="s">
        <v>3135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3248</v>
      </c>
      <c r="JO51" s="155">
        <v>3</v>
      </c>
      <c r="JT51" s="274" t="s">
        <v>3249</v>
      </c>
      <c r="JU51" s="282"/>
      <c r="JZ51" s="204">
        <v>34</v>
      </c>
      <c r="KA51" s="283" t="s">
        <v>3250</v>
      </c>
      <c r="KL51" s="291" t="s">
        <v>3251</v>
      </c>
      <c r="KM51" s="303">
        <v>1746</v>
      </c>
      <c r="KR51" s="291" t="s">
        <v>3252</v>
      </c>
      <c r="KS51" s="248">
        <v>19.07</v>
      </c>
      <c r="KX51" s="178" t="s">
        <v>2478</v>
      </c>
      <c r="KY51" s="203">
        <f>KU26+KW52-LA25</f>
        <v>210</v>
      </c>
      <c r="LD51" s="14" t="s">
        <v>3253</v>
      </c>
      <c r="LE51" s="14">
        <v>6.3</v>
      </c>
      <c r="LJ51" s="291" t="s">
        <v>3254</v>
      </c>
      <c r="LK51" s="248">
        <v>810</v>
      </c>
      <c r="LV51" s="71"/>
      <c r="LW51" s="248"/>
      <c r="MB51" s="14" t="s">
        <v>3255</v>
      </c>
      <c r="MC51" s="186">
        <v>523.20000000000005</v>
      </c>
      <c r="MF51" s="158" t="s">
        <v>3256</v>
      </c>
      <c r="MG51" s="317">
        <v>100</v>
      </c>
      <c r="MH51" s="204">
        <v>20</v>
      </c>
      <c r="MI51" s="22" t="s">
        <v>2419</v>
      </c>
      <c r="MO51" s="245"/>
    </row>
    <row r="52" spans="41:361">
      <c r="AO52" s="14" t="s">
        <v>3257</v>
      </c>
      <c r="AP52" s="14">
        <v>12.9</v>
      </c>
      <c r="DG52" s="67" t="s">
        <v>3258</v>
      </c>
      <c r="DH52" s="63">
        <v>120</v>
      </c>
      <c r="DI52" s="75" t="s">
        <v>2574</v>
      </c>
      <c r="DK52" s="67"/>
      <c r="DM52" s="50" t="s">
        <v>2889</v>
      </c>
      <c r="DN52" s="52">
        <v>50</v>
      </c>
      <c r="DO52" s="55"/>
      <c r="DP52" s="139">
        <v>11.6</v>
      </c>
      <c r="DQ52" s="67"/>
      <c r="DS52" s="50" t="s">
        <v>3259</v>
      </c>
      <c r="FF52" s="110"/>
      <c r="FP52" s="176" t="s">
        <v>3260</v>
      </c>
      <c r="FQ52" s="67">
        <v>29.95</v>
      </c>
      <c r="GN52" s="176" t="s">
        <v>3261</v>
      </c>
      <c r="GO52" s="14">
        <v>38.9</v>
      </c>
      <c r="GU52" s="67"/>
      <c r="GV52" s="658"/>
      <c r="HF52" s="55"/>
      <c r="HX52" s="217" t="s">
        <v>3262</v>
      </c>
      <c r="HY52" s="14">
        <v>23.86</v>
      </c>
      <c r="IJ52" s="75" t="s">
        <v>3263</v>
      </c>
      <c r="IK52" s="103">
        <f>161+14</f>
        <v>175</v>
      </c>
      <c r="IP52" s="75" t="s">
        <v>3264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3265</v>
      </c>
      <c r="KW52" s="290">
        <v>200</v>
      </c>
      <c r="KX52" s="204">
        <v>20</v>
      </c>
      <c r="KY52" s="283" t="s">
        <v>3266</v>
      </c>
      <c r="LD52" s="291" t="s">
        <v>3267</v>
      </c>
      <c r="LE52" s="248">
        <v>6.8</v>
      </c>
      <c r="LJ52" s="14" t="s">
        <v>3268</v>
      </c>
      <c r="LK52" s="49">
        <v>680</v>
      </c>
      <c r="LQ52" s="245"/>
      <c r="MB52" s="335" t="s">
        <v>3269</v>
      </c>
      <c r="MC52" s="63">
        <f>3.5+2.2</f>
        <v>5.7</v>
      </c>
      <c r="MH52" s="204">
        <v>10</v>
      </c>
      <c r="MI52" s="283" t="s">
        <v>3270</v>
      </c>
      <c r="MO52" s="67"/>
    </row>
    <row r="53" spans="41:361">
      <c r="DA53" s="67"/>
      <c r="DB53" s="67"/>
      <c r="DC53" s="55"/>
      <c r="DD53" s="62"/>
      <c r="DG53" s="67" t="s">
        <v>3271</v>
      </c>
      <c r="DH53" s="63">
        <v>143.96</v>
      </c>
      <c r="DK53" s="67"/>
      <c r="DO53" s="55"/>
      <c r="DP53" s="139">
        <v>2</v>
      </c>
      <c r="DQ53" s="67"/>
      <c r="DS53" s="50" t="s">
        <v>2889</v>
      </c>
      <c r="DT53" s="52">
        <v>80</v>
      </c>
      <c r="FP53" s="176" t="s">
        <v>3272</v>
      </c>
      <c r="FQ53" s="67">
        <v>120</v>
      </c>
      <c r="GN53" s="176" t="s">
        <v>3273</v>
      </c>
      <c r="GO53" s="67">
        <v>33</v>
      </c>
      <c r="GT53" s="14" t="s">
        <v>3205</v>
      </c>
      <c r="GU53" s="185">
        <v>900</v>
      </c>
      <c r="HB53" s="55"/>
      <c r="HC53" s="55"/>
      <c r="HD53" s="55"/>
      <c r="HE53" s="55"/>
      <c r="HF53" s="55"/>
      <c r="HX53" s="217" t="s">
        <v>3274</v>
      </c>
      <c r="HY53" s="14">
        <v>19.89</v>
      </c>
      <c r="ID53" s="215" t="s">
        <v>3103</v>
      </c>
      <c r="IE53" s="215"/>
      <c r="II53" s="233"/>
      <c r="IJ53" s="75" t="s">
        <v>3275</v>
      </c>
      <c r="IK53" s="103">
        <v>87.8</v>
      </c>
      <c r="IP53" s="188" t="s">
        <v>3276</v>
      </c>
      <c r="IQ53" s="107">
        <v>84.9</v>
      </c>
      <c r="IV53" s="189"/>
      <c r="JB53" s="196"/>
      <c r="JC53" s="155"/>
      <c r="JH53" s="189"/>
      <c r="JI53" s="196"/>
      <c r="JX53" s="158" t="s">
        <v>3277</v>
      </c>
      <c r="JY53" s="171">
        <v>200</v>
      </c>
      <c r="JZ53" s="204">
        <v>7</v>
      </c>
      <c r="KA53" s="244" t="s">
        <v>2850</v>
      </c>
      <c r="KL53" s="291"/>
      <c r="KM53" s="248"/>
      <c r="KX53" s="204">
        <v>10</v>
      </c>
      <c r="KY53" s="244" t="s">
        <v>3278</v>
      </c>
      <c r="LD53" s="14" t="s">
        <v>3279</v>
      </c>
      <c r="LE53" s="14">
        <f>53.6+6.5</f>
        <v>60.1</v>
      </c>
      <c r="LJ53" s="14" t="s">
        <v>3280</v>
      </c>
      <c r="LK53" s="248">
        <v>262</v>
      </c>
      <c r="LQ53" s="67"/>
      <c r="LW53" s="245"/>
      <c r="MB53" s="71" t="s">
        <v>3281</v>
      </c>
      <c r="MC53" s="248">
        <v>15.5</v>
      </c>
      <c r="MG53" s="62"/>
      <c r="MH53" s="204">
        <v>20</v>
      </c>
      <c r="MI53" s="283" t="s">
        <v>3282</v>
      </c>
    </row>
    <row r="54" spans="41:361">
      <c r="DA54" s="67"/>
      <c r="DB54" s="67"/>
      <c r="DC54" s="55"/>
      <c r="DD54" s="62"/>
      <c r="DG54" s="50" t="s">
        <v>3283</v>
      </c>
      <c r="DH54" s="52">
        <v>51</v>
      </c>
      <c r="DK54" s="67"/>
      <c r="DO54" s="55"/>
      <c r="DP54" s="139">
        <v>28.8</v>
      </c>
      <c r="DQ54" s="67"/>
      <c r="FP54" s="176" t="s">
        <v>3284</v>
      </c>
      <c r="FQ54" s="67">
        <v>108.12</v>
      </c>
      <c r="GO54" s="67"/>
      <c r="GT54" s="185" t="s">
        <v>3285</v>
      </c>
      <c r="HB54" s="55"/>
      <c r="HC54" s="55"/>
      <c r="HD54" s="192"/>
      <c r="HE54" s="55"/>
      <c r="HF54" s="55"/>
      <c r="HX54" s="217" t="s">
        <v>3286</v>
      </c>
      <c r="HY54" s="14">
        <f>30.9+469.82+100.14+34.91</f>
        <v>635.77</v>
      </c>
      <c r="ID54" s="48" t="s">
        <v>3287</v>
      </c>
      <c r="IE54" s="14">
        <f>30+139.5</f>
        <v>169.5</v>
      </c>
      <c r="II54" s="233"/>
      <c r="IJ54" s="75" t="s">
        <v>3288</v>
      </c>
      <c r="IK54" s="103">
        <f>40.6+11.5</f>
        <v>52.1</v>
      </c>
      <c r="IP54" s="189" t="s">
        <v>3289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3290</v>
      </c>
      <c r="KS54" s="67"/>
      <c r="KW54" s="55"/>
      <c r="KX54" s="204">
        <v>10</v>
      </c>
      <c r="KY54" s="244" t="s">
        <v>2419</v>
      </c>
      <c r="LD54" s="14" t="s">
        <v>3291</v>
      </c>
      <c r="LE54" s="14">
        <v>70</v>
      </c>
      <c r="LJ54" s="14" t="s">
        <v>3292</v>
      </c>
      <c r="LK54" s="14">
        <v>7.9</v>
      </c>
      <c r="LW54" s="67"/>
      <c r="MB54" s="71" t="s">
        <v>3293</v>
      </c>
      <c r="MC54" s="67">
        <v>42.9</v>
      </c>
      <c r="MG54" s="62"/>
      <c r="MH54" s="204">
        <v>90</v>
      </c>
      <c r="MI54" s="283" t="s">
        <v>3294</v>
      </c>
    </row>
    <row r="55" spans="41:361">
      <c r="AO55" s="14" t="s">
        <v>3295</v>
      </c>
      <c r="AP55" s="14">
        <v>600</v>
      </c>
      <c r="DA55" s="67"/>
      <c r="DB55" s="67"/>
      <c r="DC55" s="55"/>
      <c r="DD55" s="62"/>
      <c r="DE55" s="67"/>
      <c r="DG55" s="67" t="s">
        <v>3296</v>
      </c>
      <c r="DH55" s="52">
        <f>500+356</f>
        <v>856</v>
      </c>
      <c r="DI55" s="110" t="s">
        <v>3201</v>
      </c>
      <c r="DK55" s="67"/>
      <c r="DO55" s="55"/>
      <c r="DP55" s="139">
        <v>25.5</v>
      </c>
      <c r="DQ55" s="67"/>
      <c r="FL55" s="110"/>
      <c r="GN55" s="14" t="s">
        <v>2809</v>
      </c>
      <c r="GO55" s="14">
        <v>800</v>
      </c>
      <c r="GT55" s="14" t="s">
        <v>3102</v>
      </c>
      <c r="GU55" s="67">
        <v>44</v>
      </c>
      <c r="HB55" s="55"/>
      <c r="HC55" s="55"/>
      <c r="HD55" s="192"/>
      <c r="HE55" s="55"/>
      <c r="HF55" s="55"/>
      <c r="HX55" s="14" t="s">
        <v>3297</v>
      </c>
      <c r="HY55" s="14">
        <v>7329.5</v>
      </c>
      <c r="ID55" s="48" t="s">
        <v>3298</v>
      </c>
      <c r="IE55" s="14">
        <v>15.32</v>
      </c>
      <c r="II55" s="235"/>
      <c r="IJ55" s="75" t="s">
        <v>3299</v>
      </c>
      <c r="IK55" s="103">
        <v>10.49</v>
      </c>
      <c r="IP55" s="189" t="s">
        <v>3300</v>
      </c>
      <c r="IQ55" s="107"/>
      <c r="IV55" s="189"/>
      <c r="JB55" s="188"/>
      <c r="JC55" s="196"/>
      <c r="JH55" s="189"/>
      <c r="JZ55" s="204">
        <v>20</v>
      </c>
      <c r="KA55" s="244" t="s">
        <v>3301</v>
      </c>
      <c r="KW55" s="55"/>
      <c r="KX55" s="204">
        <v>40</v>
      </c>
      <c r="KY55" s="244" t="s">
        <v>3302</v>
      </c>
      <c r="LE55" s="67"/>
      <c r="LJ55" s="14" t="s">
        <v>3303</v>
      </c>
      <c r="LK55" s="67">
        <v>49</v>
      </c>
      <c r="MC55" s="245"/>
      <c r="MH55" s="71" t="s">
        <v>3304</v>
      </c>
      <c r="MI55" s="248">
        <v>7.8</v>
      </c>
    </row>
    <row r="56" spans="41:361">
      <c r="AO56" s="14" t="s">
        <v>3305</v>
      </c>
      <c r="AP56" s="14">
        <v>300</v>
      </c>
      <c r="DA56" s="67"/>
      <c r="DB56" s="67"/>
      <c r="DC56" s="131"/>
      <c r="DD56" s="132"/>
      <c r="DE56" s="67"/>
      <c r="DG56" s="67" t="s">
        <v>3306</v>
      </c>
      <c r="DH56" s="52">
        <v>30</v>
      </c>
      <c r="DK56" s="67"/>
      <c r="DO56" s="55" t="s">
        <v>3307</v>
      </c>
      <c r="DP56" s="139">
        <v>-1122.52</v>
      </c>
      <c r="DQ56" s="67"/>
      <c r="FP56" s="14" t="s">
        <v>2809</v>
      </c>
      <c r="FQ56" s="55">
        <v>753.05</v>
      </c>
      <c r="GN56" s="14" t="s">
        <v>3308</v>
      </c>
      <c r="GO56" s="55"/>
      <c r="HB56" s="55"/>
      <c r="HC56" s="55"/>
      <c r="HD56" s="192"/>
      <c r="HE56" s="55"/>
      <c r="HF56" s="55"/>
      <c r="HX56" s="189"/>
      <c r="ID56" s="216" t="s">
        <v>3309</v>
      </c>
      <c r="IE56" s="166">
        <v>67.61</v>
      </c>
      <c r="IJ56" s="75" t="s">
        <v>3286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3310</v>
      </c>
      <c r="KM56" s="67"/>
      <c r="KX56" s="204">
        <v>20</v>
      </c>
      <c r="KY56" s="244" t="s">
        <v>3311</v>
      </c>
      <c r="MC56" s="67"/>
      <c r="MH56" s="71" t="s">
        <v>3312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3313</v>
      </c>
      <c r="DH57" s="52">
        <v>30</v>
      </c>
      <c r="DK57" s="67"/>
      <c r="DO57" s="55" t="s">
        <v>3314</v>
      </c>
      <c r="DP57" s="139">
        <f>SUM(DP44:DP56)</f>
        <v>1647.79</v>
      </c>
      <c r="DQ57" s="67"/>
      <c r="FP57" s="14" t="s">
        <v>3315</v>
      </c>
      <c r="FQ57" s="67"/>
      <c r="GN57" s="14" t="s">
        <v>2889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3316</v>
      </c>
      <c r="IE57" s="218">
        <v>-25.98</v>
      </c>
      <c r="IJ57" s="215" t="s">
        <v>3317</v>
      </c>
      <c r="IK57" s="215"/>
      <c r="IP57" s="189" t="s">
        <v>3318</v>
      </c>
      <c r="IQ57" s="245">
        <v>22.2</v>
      </c>
      <c r="JB57" s="189"/>
      <c r="JC57" s="246"/>
      <c r="JZ57" s="204">
        <v>6</v>
      </c>
      <c r="KA57" s="244" t="s">
        <v>3319</v>
      </c>
      <c r="KX57" s="204">
        <v>10</v>
      </c>
      <c r="KY57" s="244" t="s">
        <v>3320</v>
      </c>
      <c r="MH57" s="71" t="s">
        <v>3321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3322</v>
      </c>
      <c r="DH58" s="52">
        <v>58.2</v>
      </c>
      <c r="DK58" s="67"/>
      <c r="DQ58" s="67"/>
      <c r="FP58" s="14" t="s">
        <v>2889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3323</v>
      </c>
      <c r="IE58" s="14">
        <v>8.8000000000000007</v>
      </c>
      <c r="IJ58" s="189" t="s">
        <v>3324</v>
      </c>
      <c r="IK58" s="14">
        <v>150</v>
      </c>
      <c r="IP58" s="196" t="s">
        <v>3325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2839</v>
      </c>
      <c r="ME58" s="20"/>
      <c r="MH58" s="335" t="s">
        <v>3326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3327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3328</v>
      </c>
      <c r="IE59" s="14">
        <f>2000+1311.79</f>
        <v>3311.79</v>
      </c>
      <c r="IJ59" s="189" t="s">
        <v>3323</v>
      </c>
      <c r="IK59" s="14">
        <v>5.4</v>
      </c>
      <c r="IP59" s="196"/>
      <c r="IQ59" s="196"/>
      <c r="JB59" s="189"/>
      <c r="JC59" s="196"/>
      <c r="JW59" s="20"/>
      <c r="JZ59" s="14" t="s">
        <v>3329</v>
      </c>
      <c r="KA59" s="14">
        <v>31.001000000000001</v>
      </c>
      <c r="KC59" s="20"/>
      <c r="KX59" s="204">
        <v>8</v>
      </c>
      <c r="KY59" s="244" t="s">
        <v>3092</v>
      </c>
      <c r="LG59" s="20"/>
      <c r="MH59" s="71" t="s">
        <v>3330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3331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3332</v>
      </c>
      <c r="KA60" s="186">
        <f>30/5.217</f>
        <v>5.7504312823461765</v>
      </c>
      <c r="KX60" s="204">
        <v>10</v>
      </c>
      <c r="KY60" s="244" t="s">
        <v>3333</v>
      </c>
      <c r="MI60" s="245"/>
    </row>
    <row r="61" spans="41:361">
      <c r="DA61" s="67"/>
      <c r="DB61" s="67"/>
      <c r="DC61" s="55"/>
      <c r="DD61" s="62"/>
      <c r="DE61" s="67"/>
      <c r="DG61" s="50" t="s">
        <v>3334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3335</v>
      </c>
      <c r="KA61" s="14">
        <v>21.81</v>
      </c>
      <c r="KX61" s="204">
        <v>40</v>
      </c>
      <c r="KY61" s="244" t="s">
        <v>3336</v>
      </c>
      <c r="LA61" s="20"/>
      <c r="MI61" s="67"/>
    </row>
    <row r="62" spans="41:361">
      <c r="DE62" s="67"/>
      <c r="DG62" s="50" t="s">
        <v>3337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3338</v>
      </c>
      <c r="KA62" s="14">
        <v>11.25</v>
      </c>
      <c r="KU62" s="20"/>
      <c r="KX62" s="291" t="s">
        <v>3218</v>
      </c>
      <c r="KY62" s="248">
        <v>14.4</v>
      </c>
      <c r="LM62" s="20"/>
    </row>
    <row r="63" spans="41:361">
      <c r="DE63" s="67"/>
      <c r="DG63" s="50" t="s">
        <v>3339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2953</v>
      </c>
      <c r="KA63" s="14">
        <v>117.5</v>
      </c>
      <c r="LS63" s="20"/>
      <c r="LY63" s="20"/>
      <c r="MQ63" s="20"/>
      <c r="MW63" s="20"/>
    </row>
    <row r="64" spans="41:361">
      <c r="DG64" s="50" t="s">
        <v>2798</v>
      </c>
      <c r="DH64" s="52">
        <v>1500</v>
      </c>
      <c r="ID64" s="189"/>
      <c r="IP64" s="189"/>
      <c r="IQ64" s="196"/>
      <c r="IY64" s="20"/>
      <c r="JE64" s="20"/>
      <c r="JZ64" s="14" t="s">
        <v>3340</v>
      </c>
      <c r="KA64" s="14">
        <v>36.200000000000003</v>
      </c>
      <c r="KX64" s="291"/>
      <c r="KY64" s="248"/>
      <c r="MK64" s="20"/>
    </row>
    <row r="65" spans="205:311">
      <c r="IP65" s="189"/>
      <c r="JK65" s="20"/>
      <c r="JQ65" s="20"/>
      <c r="JZ65" s="55" t="s">
        <v>3341</v>
      </c>
      <c r="KA65" s="14">
        <v>9.8000000000000007</v>
      </c>
    </row>
    <row r="66" spans="205:311">
      <c r="IJ66" s="188"/>
      <c r="IK66" s="166"/>
      <c r="IP66" s="189"/>
      <c r="JZ66" s="14" t="s">
        <v>3342</v>
      </c>
      <c r="KA66" s="14">
        <v>9.77</v>
      </c>
    </row>
    <row r="67" spans="205:311">
      <c r="IK67" s="218"/>
      <c r="IM67" s="20"/>
      <c r="IP67" s="189"/>
      <c r="IS67" s="20"/>
      <c r="JZ67" s="14" t="s">
        <v>3343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2951</v>
      </c>
      <c r="JZ68" s="14" t="s">
        <v>3344</v>
      </c>
      <c r="KA68" s="14">
        <v>6.62</v>
      </c>
    </row>
    <row r="69" spans="205:311">
      <c r="HO69" s="20"/>
      <c r="IG69" s="20"/>
      <c r="IJ69" s="189"/>
      <c r="JZ69" s="258" t="s">
        <v>3345</v>
      </c>
      <c r="KA69" s="14">
        <v>69</v>
      </c>
    </row>
    <row r="70" spans="205:311">
      <c r="IJ70" s="189"/>
      <c r="JZ70" s="258" t="s">
        <v>3346</v>
      </c>
      <c r="KA70" s="14">
        <v>8</v>
      </c>
    </row>
    <row r="71" spans="205:311">
      <c r="IJ71" s="189"/>
      <c r="JZ71" s="341" t="s">
        <v>3347</v>
      </c>
      <c r="KA71" s="67">
        <v>29.7</v>
      </c>
    </row>
    <row r="72" spans="205:311">
      <c r="IJ72" s="189"/>
      <c r="JZ72" s="258" t="s">
        <v>3348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6"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3371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6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1098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3372</v>
      </c>
      <c r="G2" t="s">
        <v>532</v>
      </c>
      <c r="H2" t="s">
        <v>3372</v>
      </c>
      <c r="K2" t="s">
        <v>532</v>
      </c>
      <c r="L2" t="s">
        <v>3372</v>
      </c>
      <c r="O2" t="s">
        <v>532</v>
      </c>
      <c r="R2" s="29" t="s">
        <v>148</v>
      </c>
      <c r="S2" t="s">
        <v>532</v>
      </c>
      <c r="T2" t="s">
        <v>3372</v>
      </c>
      <c r="V2" s="29" t="s">
        <v>148</v>
      </c>
      <c r="W2" t="s">
        <v>532</v>
      </c>
      <c r="X2" s="30" t="s">
        <v>3372</v>
      </c>
      <c r="Z2" s="29" t="s">
        <v>148</v>
      </c>
      <c r="AA2" t="s">
        <v>532</v>
      </c>
      <c r="AB2" t="s">
        <v>3372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3373</v>
      </c>
      <c r="D35" s="34">
        <f>SUM(D3:D33)*88</f>
        <v>1895.7128767123286</v>
      </c>
      <c r="F35" s="29" t="s">
        <v>3373</v>
      </c>
      <c r="H35" s="34">
        <f>SUM(H3:H33)*88</f>
        <v>2121.0410958904108</v>
      </c>
      <c r="J35" s="29" t="s">
        <v>3373</v>
      </c>
      <c r="L35" s="34">
        <f>SUM(L3:L33)*88</f>
        <v>2597.8082191780818</v>
      </c>
      <c r="N35" s="29" t="s">
        <v>3373</v>
      </c>
      <c r="P35" s="34">
        <f>SUM(P3:P33)*88</f>
        <v>2650.7287671232875</v>
      </c>
      <c r="R35" s="29" t="s">
        <v>3373</v>
      </c>
      <c r="T35" s="34">
        <v>292.3</v>
      </c>
      <c r="U35" s="34"/>
      <c r="V35" s="29" t="s">
        <v>3373</v>
      </c>
      <c r="X35" s="30">
        <f>SUM(X3:X33)</f>
        <v>769.29589041095926</v>
      </c>
      <c r="Z35" s="29" t="s">
        <v>3373</v>
      </c>
      <c r="AB35" s="36">
        <f>SUM(AB3:AB33)</f>
        <v>1085.6610958904116</v>
      </c>
    </row>
    <row r="36" spans="2:28">
      <c r="B36" s="29" t="s">
        <v>3374</v>
      </c>
      <c r="D36" s="34">
        <f>'HIS19'!KQ21</f>
        <v>1895.66</v>
      </c>
      <c r="F36" s="29" t="s">
        <v>3374</v>
      </c>
      <c r="H36" s="34">
        <f>'HIS19'!KQ22</f>
        <v>2121.2199999999998</v>
      </c>
      <c r="J36" s="29" t="s">
        <v>3374</v>
      </c>
      <c r="L36" s="34">
        <f>'HIS19'!KQ23</f>
        <v>2597.87</v>
      </c>
      <c r="N36" s="29" t="s">
        <v>3374</v>
      </c>
      <c r="P36" s="34">
        <f>'HIS19'!KQ24</f>
        <v>2650.71</v>
      </c>
      <c r="R36" s="29" t="s">
        <v>3374</v>
      </c>
      <c r="T36" s="34">
        <v>292</v>
      </c>
      <c r="U36" s="34"/>
      <c r="V36" s="29" t="s">
        <v>3374</v>
      </c>
      <c r="X36" s="30">
        <v>767</v>
      </c>
      <c r="Z36" s="29" t="s">
        <v>3374</v>
      </c>
      <c r="AB36" s="30">
        <v>1083</v>
      </c>
    </row>
    <row r="37" spans="2:28">
      <c r="B37" s="29" t="s">
        <v>3375</v>
      </c>
      <c r="D37" s="34">
        <f>D36-D35</f>
        <v>-5.2876712328497888E-2</v>
      </c>
      <c r="F37" s="29" t="s">
        <v>3375</v>
      </c>
      <c r="H37" s="34">
        <f>H36-H35</f>
        <v>0.17890410958898428</v>
      </c>
      <c r="J37" s="29" t="s">
        <v>3375</v>
      </c>
      <c r="L37" s="34">
        <f>L36-L35</f>
        <v>6.1780821918091533E-2</v>
      </c>
      <c r="N37" s="29" t="s">
        <v>3375</v>
      </c>
      <c r="P37" s="34">
        <f>P36-P35</f>
        <v>-1.8767123287489085E-2</v>
      </c>
      <c r="R37" s="29" t="s">
        <v>3375</v>
      </c>
      <c r="T37" s="34">
        <v>-0.29999999999995502</v>
      </c>
      <c r="U37" s="34"/>
      <c r="V37" s="29" t="s">
        <v>3375</v>
      </c>
      <c r="X37" s="30">
        <f>X36-X35</f>
        <v>-2.2958904109592595</v>
      </c>
      <c r="Z37" s="29" t="s">
        <v>3375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2024-07-01T14:14:31Z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