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07D0953-5748-4961-8C9E-47F53BAF8E13}" xr6:coauthVersionLast="41" xr6:coauthVersionMax="47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KS30" i="32" l="1"/>
  <c r="KS16" i="32" l="1"/>
  <c r="KS20" i="32"/>
  <c r="D36" i="44"/>
  <c r="KU23" i="32" l="1"/>
  <c r="KQ23" i="32"/>
  <c r="KS28" i="32"/>
  <c r="KT14" i="32" l="1"/>
  <c r="KM17" i="32"/>
  <c r="KS29" i="32"/>
  <c r="KQ41" i="32"/>
  <c r="KQ9" i="32"/>
  <c r="KU11" i="32" l="1"/>
  <c r="KR45" i="32"/>
  <c r="KQ34" i="32" l="1"/>
  <c r="KA30" i="32"/>
  <c r="KA33" i="32"/>
  <c r="KQ22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6" i="32"/>
  <c r="T36" i="44" l="1"/>
  <c r="KD24" i="32" l="1"/>
  <c r="KQ17" i="32" l="1"/>
  <c r="KQ2" i="32" s="1"/>
  <c r="KM12" i="32" l="1"/>
  <c r="KM10" i="32"/>
  <c r="KM11" i="32"/>
  <c r="KS42" i="32" l="1"/>
  <c r="KS5" i="32" s="1"/>
  <c r="KU4" i="32"/>
  <c r="KQ39" i="32"/>
  <c r="KQ40" i="32"/>
  <c r="KQ36" i="32"/>
  <c r="KQ37" i="32"/>
  <c r="KQ38" i="32"/>
  <c r="KM36" i="32" l="1"/>
  <c r="KQ35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1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<sst xmlns="http://schemas.openxmlformats.org/spreadsheetml/2006/main" count="7548" uniqueCount="3107">
  <si>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</si>
  <si>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</si>
  <si>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</si>
  <si>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</si>
  <si>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</si>
  <si>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</si>
  <si>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</si>
  <si>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</si>
  <si>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</si>
  <si>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</si>
  <si>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</si>
  <si>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</si>
  <si>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</si>
  <si>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</si>
  <si>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</si>
  <si>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</si>
  <si>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</si>
  <si>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</si>
  <si>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</si>
  <si>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</si>
  <si>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</si>
  <si>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</si>
  <si>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</si>
  <si>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</si>
  <si>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</si>
  <si>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</si>
  <si>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</si>
  <si>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</si>
  <si>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</si>
  <si>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</si>
  <si>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</si>
  <si>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</si>
  <si>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</si>
  <si>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</si>
  <si>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</si>
  <si>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</si>
  <si>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</si>
  <si>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</si>
  <si>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</si>
  <si>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</si>
  <si>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</si>
  <si>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</si>
  <si>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</si>
  <si>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</si>
  <si>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</si>
  <si>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</si>
  <si>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</si>
  <si>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</si>
  <si>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</si>
  <si>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</si>
  <si>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</si>
  <si>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</si>
  <si>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</si>
  <si>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</si>
  <si>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</si>
  <si>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</si>
  <si>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</si>
  <si>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</si>
  <si>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</si>
  <si>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</si>
  <si>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</si>
  <si>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</si>
  <si>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</si>
  <si>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</si>
  <si>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</si>
  <si>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</si>
  <si>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</si>
  <si>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</si>
  <si>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</si>
  <si>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</si>
  <si>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</si>
  <si>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</si>
  <si>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</si>
  <si>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</si>
  <si>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</si>
  <si>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</si>
  <si>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</si>
  <si>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</si>
  <si>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</si>
  <si>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</si>
  <si>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</si>
  <si>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</si>
  <si>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</si>
  <si>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</si>
  <si>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</si>
  <si>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</si>
  <si>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</si>
  <si>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</si>
  <si>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</si>
  <si>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</si>
  <si>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</si>
  <si>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</si>
  <si>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</si>
  <si>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</si>
  <si>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</si>
  <si>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</si>
  <si>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</si>
  <si>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</si>
  <si>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</si>
  <si>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</si>
  <si>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</si>
  <si>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</si>
  <si>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</si>
  <si>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</si>
  <si>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</si>
  <si>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</si>
  <si>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</si>
  <si>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</si>
  <si>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</si>
  <si>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</si>
  <si>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</si>
  <si>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</si>
  <si>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</si>
  <si>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</si>
  <si>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</si>
  <si>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</si>
  <si>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</si>
  <si>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</si>
  <si>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</si>
  <si>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</si>
  <si>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</si>
  <si>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</si>
  <si>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</si>
  <si>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</si>
  <si>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</si>
  <si>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</si>
  <si>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</si>
  <si>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</si>
  <si>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</si>
  <si>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</si>
  <si>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</si>
  <si>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</si>
  <si>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</si>
  <si>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</si>
  <si>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</si>
  <si>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</si>
  <si>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</si>
  <si>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</si>
  <si>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</si>
  <si>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</si>
  <si>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</si>
  <si>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</si>
  <si>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</si>
  <si>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</si>
  <si>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</si>
  <si>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</si>
  <si>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</si>
  <si>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</si>
  <si>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</si>
  <si>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</si>
  <si>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</si>
  <si>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</si>
  <si>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</si>
  <si>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</si>
  <si>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</si>
  <si>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</si>
  <si>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</si>
  <si>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</si>
  <si>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</si>
  <si>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</si>
  <si>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</si>
  <si>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</si>
  <si>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</si>
  <si>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</si>
  <si>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</si>
  <si>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</si>
  <si>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</si>
  <si>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</si>
  <si>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</si>
  <si>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</si>
  <si>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</si>
  <si>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</si>
  <si>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</si>
  <si>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</si>
  <si>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</si>
  <si>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</si>
  <si>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</si>
  <si>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</si>
  <si>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</si>
  <si>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</si>
  <si>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</si>
  <si>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</si>
  <si>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</si>
  <si>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</si>
  <si>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</si>
  <si>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</si>
  <si>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</si>
  <si>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</si>
  <si>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</si>
  <si>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</si>
  <si>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</si>
  <si>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</si>
  <si>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</si>
  <si>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</si>
  <si>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</si>
  <si>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</si>
  <si>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</si>
  <si>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</si>
  <si>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</si>
  <si>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</si>
  <si>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</si>
  <si>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</si>
  <si>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</si>
  <si>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</si>
  <si>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</si>
  <si>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</si>
  <si>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</si>
  <si>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</si>
  <si>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</si>
  <si>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</si>
  <si>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</si>
  <si>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</si>
  <si>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</si>
  <si>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</si>
  <si>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</si>
  <si>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</si>
  <si>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</si>
  <si>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</si>
  <si>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</si>
  <si>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</si>
  <si>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</si>
  <si>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</si>
  <si>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</si>
  <si>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</si>
  <si>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</si>
  <si>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</si>
  <si>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</si>
  <si>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</si>
  <si>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</si>
  <si>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</si>
  <si>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</si>
  <si>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</si>
  <si>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</si>
  <si>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</si>
  <si>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</si>
  <si>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</si>
  <si>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</si>
  <si>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</si>
  <si>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</si>
  <si>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</si>
  <si>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</si>
  <si>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</si>
  <si>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</si>
  <si>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</si>
  <si>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</si>
  <si>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</si>
  <si>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</si>
  <si>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</si>
  <si>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</si>
  <si>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</si>
  <si>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</si>
  <si>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</si>
  <si>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</si>
  <si>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</si>
  <si>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</si>
  <si>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</si>
  <si>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</si>
  <si>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</si>
  <si>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</si>
  <si>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</si>
  <si>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</si>
  <si>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</si>
  <si>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</si>
  <si>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</si>
  <si>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</si>
  <si>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</si>
  <si>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</si>
  <si>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</si>
  <si>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</si>
  <si>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</si>
  <si>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</si>
  <si>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</si>
  <si>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</si>
  <si>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</si>
  <si>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</si>
  <si>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</si>
  <si>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</si>
  <si>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</si>
  <si>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</si>
  <si>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</si>
  <si>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</si>
  <si>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</si>
  <si>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</si>
  <si>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</si>
  <si>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</si>
  <si>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</si>
  <si>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</si>
  <si>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</si>
  <si>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</si>
  <si>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</si>
  <si>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</si>
  <si>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</si>
  <si>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</si>
  <si>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</si>
  <si>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</si>
  <si>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</si>
  <si>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</si>
  <si>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</si>
  <si>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</si>
  <si>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</si>
  <si>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</si>
  <si>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</si>
  <si>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</si>
  <si>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</si>
  <si>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</si>
  <si>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</si>
  <si>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</si>
  <si>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</si>
  <si>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</si>
  <si>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</si>
  <si>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</si>
  <si>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</si>
  <si>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</si>
  <si>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</si>
  <si>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</si>
  <si>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</si>
  <si>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</si>
  <si>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</si>
  <si>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</si>
  <si>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</si>
  <si>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</si>
  <si>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</si>
  <si>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</si>
  <si>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</si>
  <si>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</si>
  <si>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</si>
  <si>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</si>
  <si>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</si>
  <si>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</si>
  <si>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</si>
  <si>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</si>
  <si>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</si>
  <si>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</si>
  <si>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</si>
  <si>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</si>
  <si>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</si>
  <si>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</si>
  <si>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</si>
  <si>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</si>
  <si>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</si>
  <si>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</si>
  <si>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</si>
  <si>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</si>
  <si>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</si>
  <si>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</si>
  <si>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</si>
  <si>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</si>
  <si>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</si>
  <si>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</si>
  <si>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</si>
  <si>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</si>
  <si>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</si>
  <si>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</si>
  <si>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</si>
  <si>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</si>
  <si>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</si>
  <si>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</si>
  <si>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</si>
  <si>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</si>
  <si>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</si>
  <si>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</si>
  <si>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</si>
  <si>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</si>
  <si>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</si>
  <si>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</si>
  <si>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</si>
  <si>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</si>
  <si>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</si>
  <si>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</si>
  <si>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</si>
  <si>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</si>
  <si>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</si>
  <si>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</si>
  <si>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</si>
  <si>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</si>
  <si>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</si>
  <si>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</si>
  <si>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</si>
  <si>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</si>
  <si>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</si>
  <si>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</si>
  <si>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</si>
  <si>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</si>
  <si>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</si>
  <si>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</si>
  <si>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</si>
  <si>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</si>
  <si>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</si>
  <si>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</si>
  <si>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</si>
  <si>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</si>
  <si>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</si>
  <si>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</si>
  <si>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</si>
  <si>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</si>
  <si>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</si>
  <si>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</si>
  <si>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</si>
  <si>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</si>
  <si>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</si>
  <si>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</si>
  <si>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</si>
  <si>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</si>
  <si>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</si>
  <si>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</si>
  <si>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</si>
  <si>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</si>
  <si>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</si>
  <si>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</si>
  <si>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</si>
  <si>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</si>
  <si>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</si>
  <si>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</si>
  <si>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</si>
  <si>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</si>
  <si>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</si>
  <si>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</si>
  <si>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</si>
  <si>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</si>
  <si>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</si>
  <si>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</si>
  <si>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</si>
  <si>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</si>
  <si>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</si>
  <si>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</si>
  <si>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</si>
  <si>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</si>
  <si>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</si>
  <si>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</si>
  <si>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</si>
  <si>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</si>
  <si>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</si>
  <si>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</si>
  <si>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</si>
  <si>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</si>
  <si>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</si>
  <si>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</si>
  <si>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</si>
  <si>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</si>
  <si>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</si>
  <si>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</si>
  <si>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</si>
  <si>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</si>
  <si>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</si>
  <si>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</si>
  <si>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</si>
  <si>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</si>
  <si>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</si>
  <si>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</si>
  <si>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</si>
  <si>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</si>
  <si>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</si>
  <si>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</si>
  <si>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</si>
  <si>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</si>
  <si>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</si>
  <si>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</si>
  <si>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</si>
  <si>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</si>
  <si>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</si>
  <si>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</si>
  <si>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</si>
  <si>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</si>
  <si>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</si>
  <si>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</si>
  <si>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</si>
  <si>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</si>
  <si>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</si>
  <si>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</si>
  <si>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</si>
  <si>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</si>
  <si>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</si>
  <si>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</si>
  <si>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</si>
  <si>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</si>
  <si>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</si>
  <si>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</si>
  <si>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</si>
  <si>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</si>
  <si>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</si>
  <si>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</si>
  <si>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</si>
  <si>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</si>
  <si>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</si>
  <si>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</si>
  <si>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</si>
  <si>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</si>
  <si>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</si>
  <si>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</si>
  <si>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</si>
  <si>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</si>
  <si>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</si>
  <si>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</si>
  <si>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</si>
  <si>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</si>
  <si>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</si>
  <si>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</si>
  <si>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</si>
  <si>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</si>
  <si>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</si>
  <si>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</si>
  <si>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</si>
  <si>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</si>
  <si>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</si>
  <si>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</si>
  <si>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</si>
  <si>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</si>
  <si>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</si>
  <si>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</si>
  <si>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</si>
  <si>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</si>
  <si>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</si>
  <si>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</si>
  <si>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</si>
  <si>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</si>
  <si>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</si>
  <si>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</si>
  <si>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</si>
  <si>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</si>
  <si>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</si>
  <si>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</si>
  <si>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</si>
  <si>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</si>
  <si>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</si>
  <si>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</si>
  <si>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</si>
  <si>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</si>
  <si>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</si>
  <si>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</si>
  <si>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</si>
  <si>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</si>
  <si>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</si>
  <si>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</si>
  <si>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</si>
  <si>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</si>
  <si>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</si>
  <si>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</si>
  <si>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</si>
  <si>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</si>
  <si>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</si>
  <si>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</si>
  <si>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</si>
  <si>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</si>
  <si>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</si>
  <si>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</si>
  <si>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</si>
  <si>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</si>
  <si>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</si>
  <si>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</si>
  <si>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</si>
  <si>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</si>
  <si>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</si>
  <si>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</si>
  <si>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</si>
  <si>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</si>
  <si>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</si>
  <si>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</si>
  <si>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</si>
  <si>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</si>
  <si>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</si>
  <si>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</si>
  <si>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</si>
  <si>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</si>
  <si>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</si>
  <si>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</si>
  <si>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</si>
  <si>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</si>
  <si>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</si>
  <si>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</si>
  <si>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</si>
  <si>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</si>
  <si>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</si>
  <si>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</si>
  <si>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</si>
  <si>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</si>
  <si>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</si>
  <si>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</si>
  <si>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</si>
  <si>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</si>
  <si>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</si>
  <si>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</si>
  <si>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</si>
  <si>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</si>
  <si>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</si>
  <si>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</si>
  <si>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</si>
  <si>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</si>
  <si>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</si>
  <si>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</si>
  <si>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</si>
  <si>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</si>
  <si>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</si>
  <si>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</si>
  <si>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</si>
  <si>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</si>
  <si>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</si>
  <si>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</si>
  <si>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</si>
  <si>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</si>
  <si>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</si>
  <si>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</si>
  <si>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</si>
  <si>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</si>
  <si>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</si>
  <si>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</si>
  <si>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</si>
  <si>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</si>
  <si>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</si>
  <si>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</si>
  <si>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</si>
  <si>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</si>
  <si>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</si>
  <si>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</si>
  <si>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</si>
  <si>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</si>
  <si>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</si>
  <si>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</si>
  <si>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</si>
  <si>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</si>
  <si>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</si>
  <si>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</si>
  <si>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</si>
  <si>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</si>
  <si>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</si>
  <si>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</si>
  <si>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</si>
  <si>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</si>
  <si>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</si>
  <si>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</si>
  <si>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</si>
  <si>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</si>
  <si>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</si>
  <si>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</si>
  <si>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</si>
  <si>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</si>
  <si>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</si>
  <si>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</si>
  <si>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</si>
  <si>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</si>
  <si>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</si>
  <si>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</si>
  <si>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</si>
  <si>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</si>
  <si>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</si>
  <si>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</si>
  <si>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</si>
  <si>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</si>
  <si>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</si>
  <si>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</si>
  <si>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</si>
  <si>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</si>
  <si>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</si>
  <si>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</si>
  <si>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</si>
  <si>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</si>
  <si>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</si>
  <si>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</si>
  <si>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</si>
  <si>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</si>
  <si>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</si>
  <si>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</si>
  <si>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</si>
  <si>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</si>
  <si>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</si>
  <si>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</si>
  <si>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</si>
  <si>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</si>
  <si>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</si>
  <si>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</si>
  <si>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</si>
  <si>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</si>
  <si>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</si>
  <si>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</si>
  <si>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</si>
  <si>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</si>
  <si>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</si>
  <si>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</si>
  <si>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</si>
  <si>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</si>
  <si>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</si>
  <si>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</si>
  <si>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</si>
  <si>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</si>
  <si>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</si>
  <si>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</si>
  <si>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</si>
  <si>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</si>
  <si>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</si>
  <si>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</si>
  <si>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</si>
  <si>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</si>
  <si>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</si>
  <si>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</si>
  <si>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</si>
  <si>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</si>
  <si>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</si>
  <si>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</si>
  <si>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</si>
  <si>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</si>
  <si>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</si>
  <si>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</si>
  <si>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</si>
  <si>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</si>
  <si>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</si>
  <si>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</si>
  <si>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</si>
  <si>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</si>
  <si>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</si>
  <si>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</si>
  <si>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</si>
  <si>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</si>
  <si>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</si>
  <si>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</si>
  <si>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</si>
  <si>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</si>
  <si>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</si>
  <si>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</si>
  <si>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</si>
  <si>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</si>
  <si>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</si>
  <si>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</si>
  <si>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</si>
  <si>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</si>
  <si>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</si>
  <si>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</si>
  <si>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</si>
  <si>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</si>
  <si>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</si>
  <si>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</si>
  <si>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</si>
  <si>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</si>
  <si>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</si>
  <si>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</si>
  <si>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</si>
  <si>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</si>
  <si>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</si>
  <si>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</si>
  <si>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</si>
  <si>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</si>
  <si>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</si>
  <si>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</si>
  <si>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</si>
  <si>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</si>
  <si>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</si>
  <si>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</si>
  <si>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</si>
  <si>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</si>
  <si>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</si>
  <si>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</si>
  <si>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</si>
  <si>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</si>
  <si>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</si>
  <si>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</si>
  <si>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</si>
  <si>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</si>
  <si>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</si>
  <si>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</si>
  <si>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</si>
  <si>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</si>
  <si>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</si>
  <si>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</si>
  <si>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</si>
  <si>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</si>
  <si>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</si>
  <si>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</si>
  <si>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</si>
  <si>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</si>
  <si>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</si>
  <si>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</si>
  <si>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</si>
  <si>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</si>
  <si>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</si>
  <si>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</si>
  <si>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</si>
  <si>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</si>
  <si>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</si>
  <si>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</si>
  <si>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</si>
  <si>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</si>
  <si>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</si>
  <si>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</si>
  <si>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</si>
  <si>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</si>
  <si>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</si>
  <si>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</si>
  <si>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</si>
  <si>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</si>
  <si>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</si>
  <si>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</si>
  <si>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</si>
  <si>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</si>
  <si>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</si>
  <si>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</si>
  <si>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</si>
  <si>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</si>
  <si>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</si>
  <si>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</si>
  <si>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</si>
  <si>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</si>
  <si>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</si>
  <si>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</si>
  <si>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</si>
  <si>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</si>
  <si>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</si>
  <si>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</si>
  <si>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</si>
  <si>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</si>
  <si>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</si>
  <si>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</si>
  <si>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</si>
  <si>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</si>
  <si>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</si>
  <si>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</si>
  <si>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</si>
  <si>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</si>
  <si>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</si>
  <si>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</si>
  <si>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</si>
  <si>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</si>
  <si>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</si>
  <si>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</si>
  <si>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</si>
  <si>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</si>
  <si>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</si>
  <si>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</si>
  <si>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</si>
  <si>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</si>
  <si>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</si>
  <si>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</si>
  <si>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</si>
  <si>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</si>
  <si>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</si>
  <si>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</si>
  <si>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</si>
  <si>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</si>
  <si>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</si>
  <si>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</si>
  <si>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</si>
  <si>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</si>
  <si>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</si>
  <si>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</si>
  <si>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</si>
  <si>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</si>
  <si>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</si>
  <si>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</si>
  <si>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</si>
  <si>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</si>
  <si>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</si>
  <si>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</si>
  <si>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</si>
  <si>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</si>
  <si>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</si>
  <si>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</si>
  <si>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</si>
  <si>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</si>
  <si>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</si>
  <si>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</si>
  <si>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</si>
  <si>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</si>
  <si>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</si>
  <si>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</si>
  <si>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</si>
  <si>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</si>
  <si>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</si>
  <si>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</si>
  <si>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</si>
  <si>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</si>
  <si>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</si>
  <si>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</si>
  <si>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</si>
  <si>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</si>
  <si>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</si>
  <si>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</si>
  <si>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</si>
  <si>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</si>
  <si>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</si>
  <si>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</si>
  <si>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</si>
  <si>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</si>
  <si>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</si>
  <si>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</si>
  <si>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</si>
  <si>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</si>
  <si>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</si>
  <si>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</si>
  <si>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</si>
  <si>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</si>
  <si>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</si>
  <si>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</si>
  <si>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</si>
  <si>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</si>
  <si>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</si>
  <si>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</si>
  <si>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</si>
  <si>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</si>
  <si>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</si>
  <si>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</si>
  <si>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</si>
  <si>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</si>
  <si>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</si>
  <si>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</si>
  <si>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</si>
  <si>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</si>
  <si>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</si>
  <si>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</si>
  <si>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</si>
  <si>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</si>
  <si>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</si>
  <si>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</si>
  <si>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</si>
  <si>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</si>
  <si>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</si>
  <si>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</si>
  <si>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</si>
  <si>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</si>
  <si>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</si>
  <si>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</si>
  <si>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</si>
  <si>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</si>
  <si>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</si>
  <si>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</si>
  <si>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</si>
  <si>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</si>
  <si>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</si>
  <si>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</si>
  <si>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</si>
  <si>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</si>
  <si>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</si>
  <si>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</si>
  <si>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</si>
  <si>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</si>
  <si>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</si>
  <si>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</si>
  <si>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</si>
  <si>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</si>
  <si>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</si>
  <si>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</si>
  <si>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</si>
  <si>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</si>
  <si>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</si>
  <si>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</si>
  <si>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</si>
  <si>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</si>
  <si>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</si>
  <si>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</si>
  <si>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</si>
  <si>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</si>
  <si>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</si>
  <si>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</si>
  <si>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</si>
  <si>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</si>
  <si>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</si>
  <si>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</si>
  <si>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</si>
  <si>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</si>
  <si>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</si>
  <si>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</si>
  <si>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</si>
  <si>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</si>
  <si>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</si>
  <si>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</si>
  <si>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</si>
  <si>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</si>
  <si>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</si>
  <si>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</si>
  <si>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</si>
  <si>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</si>
  <si>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</si>
  <si>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</si>
  <si>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</si>
  <si>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</si>
  <si>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</si>
  <si>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</si>
  <si>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</si>
  <si>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</si>
  <si>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</si>
  <si>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</si>
  <si>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</si>
  <si>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</si>
  <si>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</si>
  <si>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</si>
  <si>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</si>
  <si>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</si>
  <si>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</si>
  <si>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</si>
  <si>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</si>
  <si>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</si>
  <si>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</si>
  <si>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</si>
  <si>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</si>
  <si>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</si>
  <si>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</si>
  <si>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</si>
  <si>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</si>
  <si>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</si>
  <si>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</si>
  <si>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</si>
  <si>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</si>
  <si>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</si>
  <si>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</si>
  <si>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</si>
  <si>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</si>
  <si>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</si>
  <si>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</si>
  <si>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</si>
  <si>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</si>
  <si>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</si>
  <si>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</si>
  <si>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</si>
  <si>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</si>
  <si>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</si>
  <si>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</si>
  <si>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</si>
  <si>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</si>
  <si>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</si>
  <si>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</si>
  <si>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</si>
  <si>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</si>
  <si>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</si>
  <si>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</si>
  <si>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</si>
  <si>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</si>
  <si>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</si>
  <si>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</si>
  <si>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</si>
  <si>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</si>
  <si>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</si>
  <si>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</si>
  <si>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</si>
  <si>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</si>
  <si>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</si>
  <si>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</si>
  <si>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</si>
  <si>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</si>
  <si>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</si>
  <si>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</si>
  <si>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</si>
  <si>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</si>
  <si>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</si>
  <si>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</si>
  <si>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</si>
  <si>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</si>
  <si>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</si>
  <si>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</si>
  <si>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</si>
  <si>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</si>
  <si>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</si>
  <si>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</si>
  <si>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</si>
  <si>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</si>
  <si>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</si>
  <si>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</si>
  <si>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</si>
  <si>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</si>
  <si>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</si>
  <si>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</si>
  <si>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</si>
  <si>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</si>
  <si>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</si>
  <si>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</si>
  <si>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</si>
  <si>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</si>
  <si>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</si>
  <si>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</si>
  <si>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</si>
  <si>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</si>
  <si>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</si>
  <si>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</si>
  <si>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</si>
  <si>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</si>
  <si>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</si>
  <si>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</si>
  <si>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</si>
  <si>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</si>
  <si>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</si>
  <si>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</si>
  <si>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</si>
  <si>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</si>
  <si>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</si>
  <si>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</si>
  <si>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</si>
  <si>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</si>
  <si>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</si>
  <si>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</si>
  <si>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</si>
  <si>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</si>
  <si>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</si>
  <si>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</si>
  <si>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</si>
  <si>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</si>
  <si>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</si>
  <si>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</si>
  <si>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</si>
  <si>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</si>
  <si>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</si>
  <si>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</si>
  <si>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</si>
  <si>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</si>
  <si>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</si>
  <si>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</si>
  <si>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</si>
  <si>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</si>
  <si>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</si>
  <si>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</si>
  <si>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</si>
  <si>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</si>
  <si>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</si>
  <si>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</si>
  <si>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</si>
  <si>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</si>
  <si>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</si>
  <si>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</si>
  <si>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</si>
  <si>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</si>
  <si>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</si>
  <si>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</si>
  <si>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</si>
  <si>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</si>
  <si>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</si>
  <si>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</si>
  <si>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</si>
  <si>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</si>
  <si>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</si>
  <si>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</si>
  <si>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</si>
  <si>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</si>
  <si>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</si>
  <si>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</si>
  <si>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</si>
  <si>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</si>
  <si>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</si>
  <si>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</si>
  <si>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</si>
  <si>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</si>
  <si>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</si>
  <si>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</si>
  <si>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</si>
  <si>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</si>
  <si>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</si>
  <si>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</si>
  <si>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</si>
  <si>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</si>
  <si>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</si>
  <si>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</si>
  <si>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</si>
  <si>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</si>
  <si>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</si>
  <si>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</si>
  <si>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</si>
  <si>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</si>
  <si>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</si>
  <si>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</si>
  <si>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</si>
  <si>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</si>
  <si>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</si>
  <si>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</si>
  <si>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</si>
  <si>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</si>
  <si>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</si>
  <si>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</si>
  <si>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</si>
  <si>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</si>
  <si>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</si>
  <si>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</si>
  <si>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</si>
  <si>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</si>
  <si>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</si>
  <si>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</si>
  <si>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</si>
  <si>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</si>
  <si>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</si>
  <si>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</si>
  <si>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</si>
  <si>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</si>
  <si>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</si>
  <si>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</si>
  <si>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</si>
  <si>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</si>
  <si>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</si>
  <si>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</si>
  <si>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</si>
  <si>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</si>
  <si>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</si>
  <si>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</si>
  <si>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</si>
  <si>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</si>
  <si>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</si>
  <si>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</si>
  <si>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</si>
  <si>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</si>
  <si>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</si>
  <si>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</si>
  <si>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</si>
  <si>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</si>
  <si>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</si>
  <si>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</si>
  <si>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</si>
  <si>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</si>
  <si>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</si>
  <si>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</si>
  <si>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</si>
  <si>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</si>
  <si>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</si>
  <si>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</si>
  <si>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</si>
  <si>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</si>
  <si>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</si>
  <si>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</si>
  <si>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</si>
  <si>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</si>
  <si>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</si>
  <si>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</si>
  <si>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</si>
  <si>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</si>
  <si>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</si>
  <si>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</si>
  <si>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</si>
  <si>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</si>
  <si>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</si>
  <si>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</si>
  <si>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</si>
  <si>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</si>
  <si>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</si>
  <si>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</si>
  <si>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</si>
  <si>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</si>
  <si>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</si>
  <si>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</si>
  <si>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</si>
  <si>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</si>
  <si>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</si>
  <si>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</si>
  <si>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</si>
  <si>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</si>
  <si>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</si>
  <si>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</si>
  <si>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</si>
  <si>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</si>
  <si>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</si>
  <si>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</si>
  <si>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</si>
  <si>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</si>
  <si>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</si>
  <si>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</si>
  <si>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</si>
  <si>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</si>
  <si>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</si>
  <si>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</si>
  <si>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</si>
  <si>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</si>
  <si>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</si>
  <si>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</si>
  <si>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</si>
  <si>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</si>
  <si>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</si>
  <si>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</si>
  <si>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</si>
  <si>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</si>
  <si>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</si>
  <si>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</si>
  <si>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</si>
  <si>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</si>
  <si>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</si>
  <si>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</si>
  <si>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</si>
  <si>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</si>
  <si>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</si>
  <si>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</si>
  <si>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</si>
  <si>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</si>
  <si>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</si>
  <si>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</si>
  <si>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</si>
  <si>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</si>
  <si>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</si>
  <si>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</si>
  <si>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</si>
  <si>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</si>
  <si>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</si>
  <si>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</si>
  <si>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</si>
  <si>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</si>
  <si>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</si>
  <si>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</si>
  <si>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</si>
  <si>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</si>
  <si>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</si>
  <si>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</si>
  <si>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</si>
  <si>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</si>
  <si>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</si>
  <si>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</si>
  <si>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</si>
  <si>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</si>
  <si>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</si>
  <si>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</si>
  <si>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</si>
  <si>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</si>
  <si>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</si>
  <si>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</si>
  <si>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</si>
  <si>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</si>
  <si>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</si>
  <si>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</si>
  <si>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</si>
  <si>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</si>
  <si>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</si>
  <si>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</si>
  <si>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</si>
  <si>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</si>
  <si>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</si>
  <si>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</si>
  <si>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</si>
  <si>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</si>
  <si>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</si>
  <si>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</si>
  <si>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</si>
  <si>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</si>
  <si>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</si>
  <si>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</si>
  <si>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</si>
  <si>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</si>
  <si>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</si>
  <si>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</si>
  <si>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</si>
  <si>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</si>
  <si>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</si>
  <si>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</si>
  <si>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</si>
  <si>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</si>
  <si>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</si>
  <si>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</si>
  <si>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</si>
  <si>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</si>
  <si>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</si>
  <si>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</si>
  <si>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</si>
  <si>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</si>
  <si>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</si>
  <si>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</si>
  <si>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</si>
  <si>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</si>
  <si>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</si>
  <si>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</si>
  <si>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</si>
  <si>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</si>
  <si>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</si>
  <si>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</si>
  <si>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</si>
  <si>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</si>
  <si>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</si>
  <si>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</si>
  <si>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</si>
  <si>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</si>
  <si>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</si>
  <si>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</si>
  <si>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</si>
  <si>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</si>
  <si>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</si>
  <si>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</si>
  <si>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</si>
  <si>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</si>
  <si>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</si>
  <si>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</si>
  <si>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</si>
  <si>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</si>
  <si>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</si>
  <si>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</si>
  <si>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</si>
  <si>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</si>
  <si>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</si>
  <si>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</si>
  <si>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</si>
  <si>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</si>
  <si>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</si>
  <si>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</si>
  <si>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</si>
  <si>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</si>
  <si>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</si>
  <si>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</si>
  <si>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</si>
  <si>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</si>
  <si>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</si>
  <si>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</si>
  <si>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</si>
  <si>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</si>
  <si>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</si>
  <si>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</si>
  <si>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</si>
  <si>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</si>
  <si>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</si>
  <si>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</si>
  <si>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</si>
  <si>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</si>
  <si>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</si>
  <si>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</si>
  <si>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</si>
  <si>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</si>
  <si>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</si>
  <si>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</si>
  <si>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</si>
  <si>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</si>
  <si>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</si>
  <si>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</si>
  <si>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</si>
  <si>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</si>
  <si>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</si>
  <si>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</si>
  <si>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</si>
  <si>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</si>
  <si>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</si>
  <si>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</si>
  <si>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</si>
  <si>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</si>
  <si>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</si>
  <si>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</si>
  <si>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</si>
  <si>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</si>
  <si>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</si>
  <si>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</si>
  <si>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</si>
  <si>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</si>
  <si>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</si>
  <si>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</si>
  <si>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</si>
  <si>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</si>
  <si>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</si>
  <si>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</si>
  <si>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</si>
  <si>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</si>
  <si>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</si>
  <si>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</si>
  <si>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</si>
  <si>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</si>
  <si>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</si>
  <si>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</si>
  <si>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</si>
  <si>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</si>
  <si>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</si>
  <si>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</si>
  <si>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</si>
  <si>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</si>
  <si>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</si>
  <si>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</si>
  <si>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</si>
  <si>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</si>
  <si>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</si>
  <si>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</si>
  <si>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</si>
  <si>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</si>
  <si>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</si>
  <si>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</si>
  <si>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</si>
  <si>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</si>
  <si>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</si>
  <si>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</si>
  <si>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</si>
  <si>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</si>
  <si>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</si>
  <si>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</si>
  <si>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</si>
  <si>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</si>
  <si>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</si>
  <si>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</si>
  <si>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</si>
  <si>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</si>
  <si>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</si>
  <si>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</si>
  <si>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</si>
  <si>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</si>
  <si>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</si>
  <si>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</si>
  <si>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</si>
  <si>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</si>
  <si>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</si>
  <si>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</si>
  <si>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</si>
  <si>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</si>
  <si>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</si>
  <si>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</si>
  <si>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</si>
  <si>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</si>
  <si>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</si>
  <si>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</si>
  <si>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</si>
  <si>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</si>
  <si>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</si>
  <si>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</si>
  <si>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</si>
  <si>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</si>
  <si>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</si>
  <si>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</si>
  <si>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</si>
  <si>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</si>
  <si>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</si>
  <si>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</si>
  <si>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</si>
  <si>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</si>
  <si>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</si>
  <si>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</si>
  <si>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</si>
  <si>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</si>
  <si>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</si>
  <si>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</si>
  <si>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</si>
  <si>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</si>
  <si>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</si>
  <si>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</si>
  <si>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</si>
  <si>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</si>
  <si>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</si>
  <si>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</si>
  <si>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</si>
  <si>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</si>
  <si>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</si>
  <si>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</si>
  <si>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</si>
  <si>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</si>
  <si>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</si>
  <si>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</si>
  <si>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</si>
  <si>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</si>
  <si>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</si>
  <si>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</si>
  <si>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</si>
  <si>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</si>
  <si>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</si>
  <si>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</si>
  <si>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</si>
  <si>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</si>
  <si>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</si>
  <si>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</si>
  <si>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</si>
  <si>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</si>
  <si>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</si>
  <si>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</si>
  <si>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</si>
  <si>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</si>
  <si>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</si>
  <si>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</si>
  <si>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</si>
  <si>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</si>
  <si>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</si>
  <si>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</si>
  <si>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</si>
  <si>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</si>
  <si>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</si>
  <si>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</si>
  <si>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</si>
  <si>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</si>
  <si>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</si>
  <si>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</si>
  <si>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</si>
  <si>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</si>
  <si>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</si>
  <si>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</si>
  <si>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</si>
  <si>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</si>
  <si>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</si>
  <si>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</si>
  <si>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</si>
  <si>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</si>
  <si>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</si>
  <si>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</si>
  <si>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</si>
  <si>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</si>
  <si>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</si>
  <si>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</si>
  <si>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</si>
  <si>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</si>
  <si>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</si>
  <si>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</si>
  <si>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</si>
  <si>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</si>
  <si>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</si>
  <si>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</si>
  <si>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</si>
  <si>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</si>
  <si>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</si>
  <si>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</si>
  <si>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</si>
  <si>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</si>
  <si>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</si>
  <si>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</si>
  <si>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</si>
  <si>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</si>
  <si>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</si>
  <si>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</si>
  <si>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</si>
  <si>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</si>
  <si>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</si>
  <si>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</si>
  <si>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</si>
  <si>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</si>
  <si>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</si>
  <si>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</si>
  <si>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</si>
  <si>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</si>
  <si>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</si>
  <si>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</si>
  <si>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</si>
  <si>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</si>
  <si>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</si>
  <si>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</si>
  <si>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</si>
  <si>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</si>
  <si>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</si>
  <si>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</si>
  <si>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</si>
  <si>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</si>
  <si>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</si>
  <si>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</si>
  <si>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</si>
  <si>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</si>
  <si>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</si>
  <si>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</si>
  <si>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</si>
  <si>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</si>
  <si>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</si>
  <si>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</si>
  <si>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</si>
  <si>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</si>
  <si>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</si>
  <si>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</si>
  <si>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</si>
  <si>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</si>
  <si>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</si>
  <si>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</si>
  <si>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</si>
  <si>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</si>
  <si>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</si>
  <si>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</si>
  <si>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</si>
  <si>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</si>
  <si>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</si>
  <si>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</si>
  <si>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</si>
  <si>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</si>
  <si>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</si>
  <si>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</si>
  <si>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</si>
  <si>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</si>
  <si>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</si>
  <si>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</si>
  <si>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</si>
  <si>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</si>
  <si>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</si>
  <si>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</si>
  <si>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</si>
  <si>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</si>
  <si>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</si>
  <si>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</si>
  <si>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</si>
  <si>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</si>
  <si>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</si>
  <si>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</si>
  <si>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</si>
  <si>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</si>
  <si>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</si>
  <si>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</si>
  <si>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</si>
  <si>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</si>
  <si>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</si>
  <si>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</si>
  <si>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</si>
  <si>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</si>
  <si>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</si>
  <si>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</si>
  <si>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</si>
  <si>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</si>
  <si>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</si>
  <si>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</si>
  <si>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</si>
  <si>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</si>
  <si>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</si>
  <si>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</si>
  <si>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</si>
  <si>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</si>
  <si>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</si>
  <si>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</si>
  <si>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</si>
  <si>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</si>
  <si>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</si>
  <si>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</si>
  <si>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</si>
  <si>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</si>
  <si>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</si>
  <si>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</si>
  <si>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</si>
  <si>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</si>
  <si>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</si>
  <si>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</si>
  <si>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</si>
  <si>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</si>
  <si>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</si>
  <si>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</si>
  <si>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</si>
  <si>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</si>
  <si>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</si>
  <si>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</si>
  <si>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</si>
  <si>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</si>
  <si>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</si>
  <si>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</si>
  <si>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</si>
  <si>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</si>
  <si>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</si>
  <si>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</si>
  <si>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</si>
  <si>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</si>
  <si>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</si>
  <si>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</si>
  <si>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</si>
  <si>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</si>
  <si>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</si>
  <si>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</si>
  <si>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</si>
  <si>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</si>
  <si>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</si>
  <si>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</si>
  <si>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</si>
  <si>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</si>
  <si>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</si>
  <si>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</si>
  <si>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</si>
  <si>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</si>
  <si>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</si>
  <si>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</si>
  <si>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</si>
  <si>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</si>
  <si>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</si>
  <si>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</si>
  <si>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</si>
  <si>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</si>
  <si>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</si>
  <si>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</si>
  <si>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</si>
  <si>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</si>
  <si>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</si>
  <si>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</si>
  <si>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</si>
  <si>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</si>
  <si>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</si>
  <si>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</si>
  <si>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</si>
  <si>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</si>
  <si>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</si>
  <si>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</si>
  <si>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</si>
  <si>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</si>
  <si>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</si>
  <si>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</si>
  <si>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</si>
  <si>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</si>
  <si>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</si>
  <si>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</si>
  <si>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</si>
  <si>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</si>
  <si>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</si>
  <si>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</si>
  <si>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</si>
  <si>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</si>
  <si>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</si>
  <si>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</si>
  <si>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</si>
  <si>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</si>
  <si>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</si>
  <si>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</si>
  <si>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</si>
  <si>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</si>
  <si>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</si>
  <si>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</si>
  <si>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</si>
  <si>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</si>
  <si>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</si>
  <si>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</si>
  <si>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</si>
  <si>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</si>
  <si>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</si>
  <si>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</si>
  <si>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</si>
  <si>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</si>
  <si>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</si>
  <si>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</si>
  <si>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</si>
  <si>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</si>
  <si>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</si>
  <si>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</si>
  <si>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</si>
  <si>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</si>
  <si>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</si>
  <si>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</si>
  <si>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</si>
  <si>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</si>
  <si>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</si>
  <si>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</si>
  <si>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</si>
  <si>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</si>
  <si>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</si>
  <si>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</si>
  <si>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</si>
  <si>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</si>
  <si>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</si>
  <si>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</si>
  <si>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</si>
  <si>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</si>
  <si>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</si>
  <si>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</si>
  <si>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</si>
  <si>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</si>
  <si>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</si>
  <si>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</si>
  <si>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</si>
  <si>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</si>
  <si>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</si>
  <si>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</si>
  <si>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</si>
  <si>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</si>
  <si>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</si>
  <si>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</si>
  <si>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</si>
  <si>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</si>
  <si>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</si>
  <si>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</si>
  <si>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</si>
  <si>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</si>
  <si>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</si>
  <si>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</si>
  <si>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</si>
  <si>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</si>
  <si>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</si>
  <si>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</si>
  <si>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</si>
  <si>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</si>
  <si>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</si>
  <si>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</si>
  <si>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</si>
  <si>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</si>
  <si>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</si>
  <si>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</si>
  <si>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</si>
  <si>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</si>
  <si>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</si>
  <si>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</si>
  <si>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</si>
  <si>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</si>
  <si>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</si>
  <si>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</si>
  <si>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</si>
  <si>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</si>
  <si>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</si>
  <si>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</si>
  <si>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</si>
  <si>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</si>
  <si>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</si>
  <si>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</si>
  <si>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</si>
  <si>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</si>
  <si>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</si>
  <si>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</si>
  <si>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</si>
  <si>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</si>
  <si>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</si>
  <si>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</si>
  <si>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</si>
  <si>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</si>
  <si>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</si>
  <si>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</si>
  <si>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</si>
  <si>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</si>
  <si>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</si>
  <si>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</si>
  <si>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</si>
  <si>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</si>
  <si>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</si>
  <si>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</si>
  <si>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</si>
  <si>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</si>
  <si>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</si>
  <si>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</si>
  <si>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</si>
  <si>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</si>
  <si>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</si>
  <si>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</si>
  <si>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</si>
  <si>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</si>
  <si>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</si>
  <si>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</si>
  <si>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</si>
  <si>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</si>
  <si>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</si>
  <si>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</si>
  <si>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</si>
  <si>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</si>
  <si>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</si>
  <si>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</si>
  <si>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</si>
  <si>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</si>
  <si>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</si>
  <si>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</si>
  <si>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</si>
  <si>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</si>
  <si>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</si>
  <si>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</si>
  <si>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</si>
  <si>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</si>
  <si>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</si>
  <si>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</si>
  <si>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</si>
  <si>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</si>
  <si>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</si>
  <si>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</si>
  <si>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</si>
  <si>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</si>
  <si>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</si>
  <si>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</si>
  <si>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</si>
  <si>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</si>
  <si>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</si>
  <si>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</si>
  <si>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</si>
  <si>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</si>
  <si>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</si>
  <si>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</si>
  <si>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</si>
  <si>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</si>
  <si>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</si>
  <si>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</si>
  <si>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</si>
  <si>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</si>
  <si>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</si>
  <si>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</si>
  <si>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</si>
  <si>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</si>
  <si>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</si>
  <si>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</si>
  <si>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</si>
  <si>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</si>
  <si>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</si>
  <si>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</si>
  <si>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</si>
  <si>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</si>
  <si>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</si>
  <si>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</si>
  <si>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</si>
  <si>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</si>
  <si>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</si>
  <si>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</si>
  <si>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</si>
  <si>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</si>
  <si>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</si>
  <si>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</si>
  <si>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</si>
  <si>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</si>
  <si>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</si>
  <si>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</si>
  <si>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</si>
  <si>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</si>
  <si>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</si>
  <si>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</si>
  <si>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</si>
  <si>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</si>
  <si>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</si>
  <si>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</si>
  <si>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</si>
  <si>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</si>
  <si>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</si>
  <si>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</si>
  <si>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</si>
  <si>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</si>
  <si>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</si>
  <si>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</si>
  <si>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</si>
  <si>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</si>
  <si>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</si>
  <si>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</si>
  <si>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</si>
  <si>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</si>
  <si>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</si>
  <si>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</si>
  <si>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</si>
  <si>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</si>
  <si>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</si>
  <si>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</si>
  <si>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</si>
  <si>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</si>
  <si>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</si>
  <si>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</si>
  <si>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</si>
  <si>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</si>
  <si>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</si>
  <si>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</si>
  <si>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</si>
  <si>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</si>
  <si>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</si>
  <si>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</si>
  <si>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</si>
  <si>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</si>
  <si>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</si>
  <si>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</si>
  <si>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</si>
  <si>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</si>
  <si>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</si>
  <si>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</si>
  <si>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</si>
  <si>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</si>
  <si>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</si>
  <si>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</si>
  <si>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</si>
  <si>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</si>
  <si>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</si>
  <si>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</si>
  <si>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</si>
  <si>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</si>
  <si>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</si>
  <si>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</si>
  <si>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</si>
  <si>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</si>
  <si>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</si>
  <si>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</si>
  <si>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</si>
  <si>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</si>
  <si>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</si>
  <si>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</si>
  <si>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</si>
  <si>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</si>
  <si>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</si>
  <si>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</si>
  <si>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</si>
  <si>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</si>
  <si>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</si>
  <si>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</si>
  <si>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</si>
  <si>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</si>
  <si>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</si>
  <si>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</si>
  <si>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</si>
  <si>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</si>
  <si>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</si>
  <si>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</si>
  <si>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</si>
  <si>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</si>
  <si>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</si>
  <si>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</si>
  <si>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</si>
  <si>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</si>
  <si>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</si>
  <si>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</si>
  <si>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</si>
  <si>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</si>
  <si>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</si>
  <si>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</si>
  <si>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</si>
  <si>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</si>
  <si>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</si>
  <si>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</si>
  <si>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</si>
  <si>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</si>
  <si>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</si>
  <si>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</si>
  <si>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</si>
  <si>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</si>
  <si>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</si>
  <si>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</si>
  <si>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</si>
  <si>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</si>
  <si>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</si>
  <si>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</si>
  <si>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</si>
  <si>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</si>
  <si>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</si>
  <si>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</si>
  <si>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</si>
  <si>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</si>
  <si>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</si>
  <si>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</si>
  <si>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</si>
  <si>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</si>
  <si>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</si>
  <si>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</si>
  <si>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</si>
  <si>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</si>
  <si>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</si>
  <si>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</si>
  <si>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</si>
  <si>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</si>
  <si>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</si>
  <si>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</si>
  <si>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</si>
  <si>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</si>
  <si>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</si>
  <si>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</si>
  <si>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</si>
  <si>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</si>
  <si>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</si>
  <si>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</si>
  <si>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</si>
  <si>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</si>
  <si>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</si>
  <si>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</si>
  <si>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</si>
  <si>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</si>
  <si>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</si>
  <si>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</si>
  <si>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</si>
  <si>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</si>
  <si>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</si>
  <si>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</si>
  <si>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</si>
  <si>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</si>
  <si>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</si>
  <si>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</si>
  <si>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</si>
  <si>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</si>
  <si>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</si>
  <si>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</si>
  <si>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</si>
  <si>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</si>
  <si>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</si>
  <si>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</si>
  <si>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</si>
  <si>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</si>
  <si>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</si>
  <si>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</si>
  <si>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</si>
  <si>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</si>
  <si>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</si>
  <si>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</si>
  <si>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</si>
  <si>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</si>
  <si>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</si>
  <si>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</si>
  <si>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</si>
  <si>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</si>
  <si>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</si>
  <si>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</si>
  <si>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</si>
  <si>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</si>
  <si>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</si>
  <si>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</si>
  <si>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</si>
  <si>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</si>
  <si>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</si>
  <si>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</si>
  <si>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</si>
  <si>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</si>
  <si>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</si>
  <si>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</si>
  <si>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</si>
  <si>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</si>
  <si>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</si>
  <si>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</si>
  <si>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</si>
  <si>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</si>
  <si>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</si>
  <si>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</si>
  <si>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</si>
  <si>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</si>
  <si>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</si>
  <si>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</si>
  <si>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</si>
  <si>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</si>
  <si>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</si>
  <si>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</si>
  <si>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</si>
  <si>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</si>
  <si>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</si>
  <si>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</si>
  <si>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</si>
  <si>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</si>
  <si>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</si>
  <si>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</si>
  <si>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</si>
  <si>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</si>
  <si>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</si>
  <si>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</si>
  <si>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</si>
  <si>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</si>
  <si>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</si>
  <si>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</si>
  <si>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</si>
  <si>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</si>
  <si>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</si>
  <si>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</si>
  <si>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</si>
  <si>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</si>
  <si>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</si>
  <si>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</si>
  <si>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</si>
  <si>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</si>
  <si>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</si>
  <si>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</si>
  <si>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</si>
  <si>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</si>
  <si>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</si>
  <si>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</si>
  <si>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</si>
  <si>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</si>
  <si>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</si>
  <si>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</si>
  <si>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</si>
  <si>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</si>
  <si>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</si>
  <si>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</si>
  <si>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</si>
  <si>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</si>
  <si>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</si>
  <si>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</si>
  <si>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</si>
  <si>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</si>
  <si>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</si>
  <si>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</si>
  <si>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</si>
  <si>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</si>
  <si>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</si>
  <si>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</si>
  <si>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</si>
  <si>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</si>
  <si>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</si>
  <si>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</si>
  <si>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</si>
  <si>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</si>
  <si>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</si>
  <si>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</si>
  <si>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</si>
  <si>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</si>
  <si>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</si>
  <si>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</si>
  <si>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</si>
  <si>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</si>
  <si>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</si>
  <si>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</si>
  <si>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</si>
  <si>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</si>
  <si>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</si>
  <si>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</si>
  <si>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</si>
  <si>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</si>
  <si>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</si>
  <si>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</si>
  <si>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</si>
  <si>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</si>
  <si>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</si>
  <si>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</si>
  <si>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</si>
  <si>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</si>
  <si>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</si>
  <si>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</si>
  <si>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</si>
  <si>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</si>
  <si>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</si>
  <si>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</si>
  <si>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</si>
  <si>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</si>
  <si>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</si>
  <si>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</si>
  <si>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</si>
  <si>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</si>
  <si>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</si>
  <si>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</si>
  <si>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</si>
  <si>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</si>
  <si>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</si>
  <si>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</si>
  <si>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</si>
  <si>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</si>
  <si>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</si>
  <si>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</si>
  <si>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</si>
  <si>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</si>
  <si>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</si>
  <si>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</si>
  <si>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</si>
  <si>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</si>
  <si>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</si>
  <si>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</si>
  <si>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</si>
  <si>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</si>
  <si>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</si>
  <si>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</si>
  <si>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</si>
  <si>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</si>
  <si>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</si>
  <si>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</si>
  <si>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</si>
  <si>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</si>
  <si>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</si>
  <si>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</si>
  <si>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</si>
  <si>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</si>
  <si>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</si>
  <si>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</si>
  <si>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</si>
  <si>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</si>
  <si>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</si>
  <si>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</si>
  <si>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</si>
  <si>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</si>
  <si>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</si>
  <si>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</si>
  <si>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</si>
  <si>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</si>
  <si>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</si>
  <si>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</si>
  <si>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</si>
  <si>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</si>
  <si>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</si>
  <si>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</si>
  <si>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</si>
  <si>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</si>
  <si>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</si>
  <si>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</si>
  <si>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</si>
  <si>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</si>
  <si>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</si>
  <si>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</si>
  <si>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</si>
  <si>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</si>
  <si>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</si>
  <si>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</si>
  <si>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</si>
  <si>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</si>
  <si>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</si>
  <si>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</si>
  <si>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</si>
  <si>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</si>
  <si>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</si>
  <si>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</si>
  <si>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</si>
  <si>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</si>
  <si>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</si>
  <si>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</si>
  <si>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</si>
  <si>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</si>
  <si>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</si>
  <si>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</si>
  <si>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</si>
  <si>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</si>
  <si>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</si>
  <si>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</si>
  <si>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</si>
  <si>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</si>
  <si>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</si>
  <si>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</si>
  <si>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</si>
  <si>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</si>
  <si>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</si>
  <si>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</si>
  <si>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</si>
  <si>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</si>
  <si>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</si>
  <si>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</si>
  <si>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</si>
  <si>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</si>
  <si>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</si>
  <si>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</si>
  <si>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</si>
  <si>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</si>
  <si>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</si>
  <si>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</si>
  <si>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</si>
  <si>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</si>
  <si>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</si>
  <si>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</si>
  <si>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</si>
  <si>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</si>
  <si>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</si>
  <si>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</si>
  <si>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</si>
  <si>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</si>
  <si>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</si>
  <si>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</si>
  <si>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</si>
  <si>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</si>
  <si>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</si>
  <si>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</si>
  <si>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</si>
  <si>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</si>
  <si>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</si>
  <si>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</si>
  <si>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</si>
  <si>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</si>
  <si>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</si>
  <si>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</si>
  <si>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</si>
  <si>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</si>
  <si>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</si>
  <si>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</si>
  <si>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</si>
  <si>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</si>
  <si>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</si>
  <si>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</si>
  <si>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</si>
  <si>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</si>
  <si>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</si>
  <si>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</si>
  <si>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</si>
  <si>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</si>
  <si>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</si>
  <si>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</si>
  <si>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</si>
  <si>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</si>
  <si>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</si>
  <si>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</si>
  <si>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</si>
  <si>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</si>
  <si>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</si>
  <si>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</si>
  <si>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</si>
  <si>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</si>
  <si>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</si>
  <si>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</si>
  <si>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</si>
  <si>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</si>
  <si>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</si>
  <si>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</si>
  <si>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</si>
  <si>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</si>
  <si>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</si>
  <si>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</si>
  <si>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</si>
  <si>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</si>
  <si>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</si>
  <si>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</si>
  <si>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</si>
  <si>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</si>
  <si>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</si>
  <si>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</si>
  <si>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</si>
  <si>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</si>
  <si>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</si>
  <si>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</si>
  <si>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</si>
  <si>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</si>
  <si>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</si>
  <si>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</si>
  <si>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</si>
  <si>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</si>
  <si>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</si>
  <si>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</si>
  <si>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</si>
  <si>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</si>
  <si>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</si>
  <si>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</si>
  <si>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</si>
  <si>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</si>
  <si>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</si>
  <si>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</si>
  <si>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</si>
  <si>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</si>
  <si>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</si>
  <si>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</si>
  <si>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</si>
  <si>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</si>
  <si>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</si>
  <si>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</si>
  <si>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</si>
  <si>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</si>
  <si>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</si>
  <si>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</si>
  <si>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</si>
  <si>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</si>
  <si>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</si>
  <si>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</si>
  <si>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</si>
  <si>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</si>
  <si>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</si>
  <si>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</si>
  <si>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</si>
  <si>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</si>
  <si>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</si>
  <si>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</si>
  <si>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</si>
  <si>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</si>
  <si>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</si>
  <si>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</si>
  <si>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</si>
  <si>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</si>
  <si>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</si>
  <si>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</si>
  <si>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</si>
  <si>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</si>
  <si>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</si>
  <si>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</si>
  <si>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</si>
  <si>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</si>
  <si>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</si>
  <si>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</si>
  <si>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</si>
  <si>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</si>
  <si>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</si>
  <si>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</si>
  <si>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</si>
  <si>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</si>
  <si>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</si>
  <si>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</si>
  <si>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</si>
  <si>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</si>
  <si>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</si>
  <si>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</si>
  <si>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</si>
  <si>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</si>
  <si>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</si>
  <si>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</si>
  <si>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</si>
  <si>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</si>
  <si>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</si>
  <si>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</si>
  <si>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</si>
  <si>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</si>
  <si>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</si>
  <si>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</si>
  <si>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</si>
  <si>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</si>
  <si>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</si>
  <si>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</si>
  <si>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</si>
  <si>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</si>
  <si>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</si>
  <si>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</si>
  <si>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</si>
  <si>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</si>
  <si>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</si>
  <si>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</si>
  <si>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</si>
  <si>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</si>
  <si>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</si>
  <si>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</si>
  <si>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</si>
  <si>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</si>
  <si>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</si>
  <si>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</si>
  <si>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</si>
  <si>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</si>
  <si>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</si>
  <si>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</si>
  <si>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</si>
  <si>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</si>
  <si>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</si>
  <si>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</si>
  <si>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</si>
  <si>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</si>
  <si>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</si>
  <si>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</si>
  <si>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</si>
  <si>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</si>
  <si>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</si>
  <si>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</si>
  <si>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</si>
  <si>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</si>
  <si>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</si>
  <si>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</si>
  <si>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</si>
  <si>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</si>
  <si>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</si>
  <si>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</si>
  <si>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</si>
  <si>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</si>
  <si>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</si>
  <si>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</si>
  <si>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</si>
  <si>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</si>
  <si>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</si>
  <si>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</si>
  <si>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</si>
  <si>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</si>
  <si>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</si>
  <si>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</si>
  <si>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</si>
  <si>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</si>
  <si>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</si>
  <si>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</si>
  <si>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</si>
  <si>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</si>
  <si>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</si>
  <si>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</si>
  <si>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</si>
  <si>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</si>
  <si>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</si>
  <si>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</si>
  <si>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</si>
  <si>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</si>
  <si>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</si>
  <si>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</si>
  <si>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</si>
  <si>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</si>
  <si>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</si>
  <si>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</si>
  <si>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</si>
  <si>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</si>
  <si>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</si>
  <si>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</si>
  <si>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</si>
  <si>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</si>
  <si>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</si>
  <si>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</si>
  <si>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</si>
  <si>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</si>
  <si>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</si>
  <si>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</si>
  <si>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</si>
  <si>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</si>
  <si>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</si>
  <si>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</si>
  <si>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</si>
  <si>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</si>
  <si>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</si>
  <si>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</si>
  <si>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</si>
  <si>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</si>
  <si>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</si>
  <si>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</si>
  <si>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</si>
  <si>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</si>
  <si>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</si>
  <si>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</si>
  <si>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</si>
  <si>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</si>
  <si>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</si>
  <si>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</si>
  <si>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</si>
  <si>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</si>
  <si>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</si>
  <si>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</si>
  <si>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</si>
  <si>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</si>
  <si>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</si>
  <si>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</si>
  <si>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</si>
  <si>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</si>
  <si>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</si>
  <si>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</si>
  <si>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</si>
  <si>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</si>
  <si>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</si>
  <si>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</si>
  <si>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</si>
  <si>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</si>
  <si>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</si>
  <si>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</si>
  <si>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</si>
  <si>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</si>
  <si>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</si>
  <si>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</si>
  <si>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</si>
  <si>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</si>
  <si>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</si>
  <si>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</si>
  <si>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</si>
  <si>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</si>
  <si>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</si>
  <si>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</si>
  <si>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</si>
  <si>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</si>
  <si>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</si>
  <si>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</si>
  <si>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</si>
  <si>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</si>
  <si>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</si>
  <si>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</si>
  <si>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</si>
  <si>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</si>
  <si>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</si>
  <si>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</si>
  <si>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</si>
  <si>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</si>
  <si>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</si>
  <si>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</si>
  <si>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</si>
  <si>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</si>
  <si>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</si>
  <si>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</si>
  <si>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</si>
  <si>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</si>
  <si>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</si>
  <si>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</si>
  <si>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</si>
  <si>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</si>
  <si>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</si>
  <si>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</si>
  <si>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</si>
  <si>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</si>
  <si>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</si>
  <si>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</si>
  <si>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</si>
  <si>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</si>
  <si>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</si>
  <si>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</si>
  <si>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</si>
  <si>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</si>
  <si>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</si>
  <si>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</si>
  <si>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</si>
  <si>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</si>
  <si>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</si>
  <si>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</si>
  <si>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</si>
  <si>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</si>
  <si>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</si>
  <si>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</si>
  <si>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</si>
  <si>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</si>
  <si>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</si>
  <si>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</si>
  <si>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</si>
  <si>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</si>
  <si>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</si>
  <si>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</si>
  <si>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</si>
  <si>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</si>
  <si>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</si>
  <si>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</si>
  <si>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</si>
  <si>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</si>
  <si>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</si>
  <si>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</si>
  <si>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</si>
  <si>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</si>
  <si>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</si>
  <si>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</si>
  <si>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</si>
  <si>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</si>
  <si>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</si>
  <si>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</si>
  <si>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</si>
  <si>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</si>
  <si>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</si>
  <si>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</si>
  <si>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</si>
  <si>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</si>
  <si>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</si>
  <si>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</si>
  <si>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</si>
  <si>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</si>
  <si>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</si>
  <si>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</si>
  <si>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</si>
  <si>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</si>
  <si>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</si>
  <si>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</si>
  <si>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</si>
  <si>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</si>
  <si>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</si>
  <si>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</si>
  <si>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</si>
  <si>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</si>
  <si>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</si>
  <si>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</si>
  <si>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</si>
  <si>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</si>
  <si>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</si>
  <si>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</si>
  <si>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</si>
  <si>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</si>
  <si>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</si>
  <si>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</si>
  <si>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</si>
  <si>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</si>
  <si>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</si>
  <si>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</si>
  <si>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</si>
  <si>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</si>
  <si>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</si>
  <si>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</si>
  <si>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</si>
  <si>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</si>
  <si>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</si>
  <si>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</si>
  <si>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</si>
  <si>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</si>
  <si>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</si>
  <si>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</si>
  <si>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</si>
  <si>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</si>
  <si>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</si>
  <si>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</si>
  <si>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</si>
  <si>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</si>
  <si>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</si>
  <si>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</si>
  <si>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</si>
  <si>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</si>
  <si>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</si>
  <si>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</si>
  <si>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</si>
  <si>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</si>
  <si>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</si>
  <si>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</si>
  <si>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</si>
  <si>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</si>
  <si>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</si>
  <si>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</si>
  <si>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</si>
  <si>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</si>
  <si>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</si>
  <si>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</si>
  <si>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</si>
  <si>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</si>
  <si>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</si>
  <si>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</si>
  <si>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</si>
  <si>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</si>
  <si>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</si>
  <si>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</si>
  <si>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</si>
  <si>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</si>
  <si>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</si>
  <si>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</si>
  <si>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</si>
  <si>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</si>
  <si>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</si>
  <si>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</si>
  <si>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</si>
  <si>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</si>
  <si>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</si>
  <si>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</si>
  <si>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</si>
  <si>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</si>
  <si>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</si>
  <si>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</si>
  <si>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</si>
  <si>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</si>
  <si>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</si>
  <si>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</si>
  <si>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</si>
  <si>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</si>
  <si>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</si>
  <si>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</si>
  <si>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</si>
  <si>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</si>
  <si>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</si>
  <si>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</si>
  <si>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</si>
  <si>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</si>
  <si>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</si>
  <si>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</si>
  <si>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</si>
  <si>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</si>
  <si>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</si>
  <si>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</si>
  <si>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</si>
  <si>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</si>
  <si>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</si>
  <si>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</si>
  <si>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</si>
  <si>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</si>
  <si>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</si>
  <si>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</si>
  <si>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</si>
  <si>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</si>
  <si>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</si>
  <si>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</si>
  <si>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</si>
  <si>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</si>
  <si>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</si>
  <si>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</si>
  <si>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</si>
  <si>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</si>
  <si>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</si>
  <si>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</si>
  <si>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</si>
  <si>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</si>
  <si>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</si>
  <si>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</si>
  <si>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</si>
  <si>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</si>
  <si>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</si>
  <si>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</si>
  <si>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</si>
  <si>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</si>
  <si>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</si>
  <si>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</si>
  <si>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</si>
  <si>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</si>
  <si>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</si>
  <si>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</si>
  <si>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</si>
  <si>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</si>
  <si>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</si>
  <si>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</si>
  <si>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</si>
  <si>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</si>
  <si>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</si>
  <si>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</si>
  <si>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</si>
  <si>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</si>
  <si>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</si>
  <si>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</si>
  <si>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</si>
  <si>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</si>
  <si>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</si>
  <si>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</si>
  <si>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</si>
  <si>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</si>
  <si>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</si>
  <si>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</si>
  <si>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</si>
  <si>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</si>
  <si>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</si>
  <si>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</si>
  <si>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</si>
  <si>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</si>
  <si>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</si>
  <si>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</si>
  <si>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</si>
  <si>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</si>
  <si>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</si>
  <si>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</si>
  <si>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</si>
  <si>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</si>
  <si>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</si>
  <si>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</si>
  <si>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</si>
  <si>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</si>
  <si>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</si>
  <si>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</si>
  <si>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</si>
  <si>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</si>
  <si>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</si>
  <si>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</si>
  <si>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</si>
  <si>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</si>
  <si>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</si>
  <si>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</si>
  <si>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</si>
  <si>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</si>
  <si>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</si>
  <si>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</si>
  <si>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</si>
  <si>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</si>
  <si>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</si>
  <si>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</si>
  <si>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</si>
  <si>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</si>
  <si>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</si>
  <si>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</si>
  <si>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</si>
  <si>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</si>
  <si>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</si>
  <si>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</si>
  <si>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</si>
  <si>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</si>
  <si>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</si>
  <si>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</si>
  <si>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</si>
  <si>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</si>
  <si>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</si>
  <si>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</si>
  <si>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</si>
  <si>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</si>
  <si>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</si>
  <si>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</si>
  <si>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</si>
  <si>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</si>
  <si>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</si>
  <si>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</si>
  <si>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</si>
  <si>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</si>
  <si>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</si>
  <si>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</si>
  <si>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</si>
  <si>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</si>
  <si>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</si>
  <si>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</si>
  <si>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</si>
  <si>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</si>
  <si>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</si>
  <si>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</si>
  <si>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</si>
  <si>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</si>
  <si>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</si>
  <si>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</si>
  <si>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</si>
  <si>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</si>
  <si>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</si>
  <si>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</si>
  <si>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</si>
  <si>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</si>
  <si>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</si>
  <si>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</si>
  <si>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</si>
  <si>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</si>
  <si>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</si>
  <si>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</si>
  <si>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</si>
  <si>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</si>
  <si>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</si>
  <si>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</si>
  <si>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</si>
  <si>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</si>
  <si>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</si>
  <si>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</si>
  <si>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</si>
  <si>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</si>
  <si>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</si>
  <si>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</si>
  <si>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</si>
  <si>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</si>
  <si>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</si>
  <si>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</si>
  <si>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</si>
  <si>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</si>
  <si>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</si>
  <si>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</si>
  <si>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</si>
  <si>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</si>
  <si>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</si>
  <si>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</si>
  <si>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</si>
  <si>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</si>
  <si>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</si>
  <si>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</si>
  <si>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</si>
  <si>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</si>
  <si>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</si>
  <si>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</si>
  <si>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</si>
  <si>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</si>
  <si>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</si>
  <si>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</si>
  <si>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</si>
  <si>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</si>
  <si>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</si>
  <si>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</si>
  <si>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</si>
  <si>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EGA+Rev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</si>
  <si>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</si>
  <si>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</si>
  <si>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</si>
  <si>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</si>
  <si>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</si>
  <si>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</si>
  <si>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</si>
  <si>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</si>
  <si>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</si>
  <si>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</si>
  <si>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</si>
  <si>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</si>
  <si>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</si>
  <si>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</si>
  <si>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</si>
  <si>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</si>
  <si>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</si>
  <si>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</si>
  <si>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</si>
  <si>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</si>
  <si>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</si>
  <si>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</si>
  <si>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</si>
  <si>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</si>
  <si>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</si>
  <si>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</si>
  <si>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</si>
  <si>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</si>
  <si>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</si>
  <si>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</si>
  <si>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</si>
  <si>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</si>
  <si>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HDMI's</t>
  </si>
  <si>
    <t>NLB #MB</t>
  </si>
  <si>
    <t>NikeIMM #MB</t>
  </si>
  <si>
    <t>109.75!yet</t>
  </si>
  <si>
    <t>actual =</t>
  </si>
  <si>
    <t>tBill upfront 26/10</t>
  </si>
  <si>
    <t>scarlett #SCB</t>
  </si>
  <si>
    <t>SCB ccard 20/10</t>
  </si>
  <si>
    <t>^ assumed accepted</t>
  </si>
  <si>
    <t>纸币 #A-B unaffected</t>
  </si>
  <si>
    <t>5k to repay</t>
  </si>
  <si>
    <t>tBill</t>
  </si>
  <si>
    <t>CIMB</t>
  </si>
  <si>
    <t>accrual window</t>
  </si>
  <si>
    <t>ref Sep ADB</t>
  </si>
  <si>
    <t>ref Nov ADB</t>
  </si>
  <si>
    <t>cash out+!penalty</t>
  </si>
  <si>
    <t>bad</t>
  </si>
  <si>
    <t>stepUp</t>
  </si>
  <si>
    <t>payout delay/uncertainty</t>
  </si>
  <si>
    <t>7D</t>
  </si>
  <si>
    <t>20D</t>
  </si>
  <si>
    <t>Dec-Jan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</si>
  <si>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</si>
  <si>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</si>
  <si>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</si>
  <si>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</si>
  <si>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</si>
  <si>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</si>
  <si>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</si>
  <si>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</si>
  <si>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</si>
  <si>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</si>
  <si>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</si>
  <si>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SOD 29Oct</t>
  </si>
  <si>
    <t>Daiso #104</t>
  </si>
  <si>
    <t>RnC dental#FnF</t>
  </si>
  <si>
    <t>zoo #FnF</t>
  </si>
  <si>
    <t>DomPizza #FnF</t>
  </si>
  <si>
    <t>Sukiya#FnF</t>
  </si>
  <si>
    <t>BakKut #FnF</t>
  </si>
  <si>
    <t>Ichiban #FnF</t>
  </si>
  <si>
    <t>vivo BBQ</t>
  </si>
  <si>
    <t>7.5+7.5 !show</t>
  </si>
  <si>
    <t>SCB}ccard</t>
  </si>
  <si>
    <t>EOM must never decrease</t>
  </si>
  <si>
    <t>Aug-Jan #close after 20 Dec</t>
  </si>
  <si>
    <t>SOD 30Oct</t>
  </si>
  <si>
    <t>anyW 23,26,28/10,29/10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</si>
</sst>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90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0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1" fillId="0" borderId="0" xfId="0" applyFont="1"/>
    <xf numFmtId="0" fontId="41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0" fontId="0" fillId="0" borderId="9" xfId="0" applyFill="1" applyBorder="1" applyAlignment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26" fillId="10" borderId="0" xfId="0" quotePrefix="1" applyFont="1" applyFill="1" applyAlignment="1">
      <alignment horizontal="center"/>
    </xf>
    <xf numFmtId="0" fontId="52" fillId="0" borderId="0" xfId="0" applyFont="1"/>
    <xf numFmtId="3" fontId="1" fillId="0" borderId="0" xfId="0" applyNumberFormat="1" applyFont="1"/>
    <xf numFmtId="0" fontId="0" fillId="0" borderId="0" xfId="0" quotePrefix="1" applyFill="1" applyBorder="1"/>
    <xf numFmtId="0" fontId="0" fillId="0" borderId="7" xfId="0" applyBorder="1" applyAlignme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5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5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3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0" fontId="0" fillId="0" borderId="0" xfId="0"/>
    <xf numFmtId="3" fontId="35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38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3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5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6" fontId="45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26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64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3" fontId="32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A9" zoomScaleNormal="100" workbookViewId="0">
      <selection activeCell="D37" sqref="D37"/>
    </sheetView>
  </sheetViews>
  <sheetFormatPr defaultRowHeight="12.75"/>
  <cols>
    <col min="1" max="1" width="0.5703125" customWidth="1"/>
    <col min="2" max="2" width="11.5703125" style="730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730" bestFit="1" customWidth="1"/>
    <col min="7" max="7" width="4" style="624" bestFit="1" customWidth="1"/>
    <col min="8" max="8" width="7.5703125" style="624" bestFit="1" customWidth="1"/>
    <col min="9" max="9" width="1.7109375" style="624" customWidth="1"/>
    <col min="10" max="10" width="10.28515625" style="730" bestFit="1" customWidth="1"/>
    <col min="11" max="11" width="4" style="624" bestFit="1" customWidth="1"/>
    <col min="12" max="12" width="7.5703125" style="624" bestFit="1" customWidth="1"/>
    <col min="13" max="13" width="1.7109375" style="624" customWidth="1"/>
    <col min="14" max="14" width="11.28515625" style="730" bestFit="1" customWidth="1"/>
    <col min="15" max="15" width="4" style="624" bestFit="1" customWidth="1"/>
    <col min="16" max="16" width="7.5703125" style="624" bestFit="1" customWidth="1"/>
    <col min="18" max="18" width="11.28515625" style="730" bestFit="1" customWidth="1"/>
    <col min="19" max="19" width="6" style="758" customWidth="1"/>
    <col min="20" max="20" width="8.5703125" style="758" bestFit="1" customWidth="1"/>
  </cols>
  <sheetData>
    <row r="1" spans="2:20" s="624" customFormat="1" ht="5.45" customHeight="1">
      <c r="B1" s="730"/>
      <c r="F1" s="730"/>
      <c r="J1" s="730"/>
      <c r="N1" s="730"/>
      <c r="R1" s="730"/>
      <c r="S1" s="758"/>
      <c r="T1" s="758"/>
    </row>
    <row r="2" spans="2:20" s="624" customFormat="1">
      <c r="B2" s="730"/>
      <c r="D2" t="s">
        <v>2707</v>
      </c>
      <c r="F2" s="730"/>
      <c r="G2" s="624" t="s">
        <v>2708</v>
      </c>
      <c r="H2" s="624" t="s">
        <v>2707</v>
      </c>
      <c r="J2" s="730"/>
      <c r="K2" s="624" t="s">
        <v>2708</v>
      </c>
      <c r="L2" s="624" t="s">
        <v>2707</v>
      </c>
      <c r="N2" s="730"/>
      <c r="O2" s="624" t="s">
        <v>2708</v>
      </c>
      <c r="P2" s="624" t="s">
        <v>2707</v>
      </c>
      <c r="R2" s="730"/>
      <c r="S2" s="758"/>
      <c r="T2" s="758"/>
    </row>
    <row r="3" spans="2:20">
      <c r="B3" s="730">
        <v>45047</v>
      </c>
      <c r="C3">
        <v>0</v>
      </c>
      <c r="D3" s="682">
        <f t="shared" ref="D3:D22" si="0">C3*1000*0.05%/365</f>
        <v>0</v>
      </c>
      <c r="F3" s="730">
        <v>45078</v>
      </c>
      <c r="G3" s="681">
        <v>585</v>
      </c>
      <c r="H3" s="682">
        <f t="shared" ref="H3:H22" si="1">G3*1000*0.05%/365</f>
        <v>0.80136986301369861</v>
      </c>
      <c r="J3" s="730">
        <v>45108</v>
      </c>
      <c r="K3" s="681">
        <v>595</v>
      </c>
      <c r="L3" s="682">
        <f t="shared" ref="L3:L22" si="2">K3*1000*0.05%/365</f>
        <v>0.81506849315068497</v>
      </c>
      <c r="N3" s="730">
        <v>45139</v>
      </c>
      <c r="O3" s="624">
        <v>740</v>
      </c>
      <c r="P3" s="682">
        <f t="shared" ref="P3:P6" si="3">O3*1000*0.05%/365</f>
        <v>1.0136986301369864</v>
      </c>
    </row>
    <row r="4" spans="2:20">
      <c r="B4" s="730">
        <v>45048</v>
      </c>
      <c r="C4">
        <v>325</v>
      </c>
      <c r="D4" s="682">
        <f t="shared" si="0"/>
        <v>0.4452054794520548</v>
      </c>
      <c r="F4" s="730">
        <v>45079</v>
      </c>
      <c r="G4" s="681">
        <v>585</v>
      </c>
      <c r="H4" s="682">
        <f t="shared" si="1"/>
        <v>0.80136986301369861</v>
      </c>
      <c r="J4" s="730">
        <v>45109</v>
      </c>
      <c r="K4" s="681">
        <v>595</v>
      </c>
      <c r="L4" s="682">
        <f t="shared" si="2"/>
        <v>0.81506849315068497</v>
      </c>
      <c r="N4" s="730">
        <v>45140</v>
      </c>
      <c r="O4" s="718">
        <v>740</v>
      </c>
      <c r="P4" s="682">
        <f t="shared" si="3"/>
        <v>1.0136986301369864</v>
      </c>
      <c r="R4" s="848" t="s">
        <v>3040</v>
      </c>
      <c r="S4" s="848"/>
      <c r="T4" s="758" t="s">
        <v>2707</v>
      </c>
    </row>
    <row r="5" spans="2:20">
      <c r="B5" s="730">
        <v>45049</v>
      </c>
      <c r="C5">
        <v>500</v>
      </c>
      <c r="D5" s="682">
        <f t="shared" si="0"/>
        <v>0.68493150684931503</v>
      </c>
      <c r="F5" s="730">
        <v>45080</v>
      </c>
      <c r="G5" s="681">
        <v>585</v>
      </c>
      <c r="H5" s="682">
        <f t="shared" si="1"/>
        <v>0.80136986301369861</v>
      </c>
      <c r="J5" s="730">
        <v>45110</v>
      </c>
      <c r="K5" s="681">
        <v>595</v>
      </c>
      <c r="L5" s="682">
        <f t="shared" si="2"/>
        <v>0.81506849315068497</v>
      </c>
      <c r="N5" s="730">
        <v>45141</v>
      </c>
      <c r="O5" s="718">
        <v>740</v>
      </c>
      <c r="P5" s="682">
        <f t="shared" si="3"/>
        <v>1.0136986301369864</v>
      </c>
      <c r="R5" s="730">
        <v>45230</v>
      </c>
      <c r="S5" s="758">
        <v>0</v>
      </c>
      <c r="T5" s="682">
        <f>S5*1000*3.5%/365</f>
        <v>0</v>
      </c>
    </row>
    <row r="6" spans="2:20">
      <c r="B6" s="730">
        <v>45050</v>
      </c>
      <c r="C6" s="625">
        <v>500</v>
      </c>
      <c r="D6" s="682">
        <f t="shared" si="0"/>
        <v>0.68493150684931503</v>
      </c>
      <c r="F6" s="730">
        <v>45081</v>
      </c>
      <c r="G6" s="681">
        <v>585</v>
      </c>
      <c r="H6" s="682">
        <f t="shared" si="1"/>
        <v>0.80136986301369861</v>
      </c>
      <c r="J6" s="730">
        <v>45111</v>
      </c>
      <c r="K6" s="681">
        <v>595</v>
      </c>
      <c r="L6" s="682">
        <f t="shared" si="2"/>
        <v>0.81506849315068497</v>
      </c>
      <c r="N6" s="730">
        <v>45142</v>
      </c>
      <c r="O6" s="718">
        <v>740</v>
      </c>
      <c r="P6" s="682">
        <f t="shared" si="3"/>
        <v>1.0136986301369864</v>
      </c>
      <c r="R6" s="730">
        <v>45229</v>
      </c>
      <c r="S6" s="813">
        <v>0</v>
      </c>
      <c r="T6" s="682">
        <f t="shared" ref="T6:T35" si="4">S6*1000*3.5%/365</f>
        <v>0</v>
      </c>
    </row>
    <row r="7" spans="2:20">
      <c r="B7" s="730">
        <v>45051</v>
      </c>
      <c r="C7" s="625">
        <v>500</v>
      </c>
      <c r="D7" s="682">
        <f t="shared" si="0"/>
        <v>0.68493150684931503</v>
      </c>
      <c r="F7" s="730">
        <v>45082</v>
      </c>
      <c r="G7" s="681">
        <v>585</v>
      </c>
      <c r="H7" s="682">
        <f t="shared" si="1"/>
        <v>0.80136986301369861</v>
      </c>
      <c r="J7" s="730">
        <v>45112</v>
      </c>
      <c r="K7" s="624">
        <v>595</v>
      </c>
      <c r="L7" s="682">
        <f t="shared" si="2"/>
        <v>0.81506849315068497</v>
      </c>
      <c r="N7" s="730">
        <v>45143</v>
      </c>
      <c r="O7" s="624">
        <v>740</v>
      </c>
      <c r="P7" s="682">
        <f t="shared" ref="P7:P33" si="5">O7*1000*0.05%/365</f>
        <v>1.0136986301369864</v>
      </c>
      <c r="R7" s="730">
        <v>45228</v>
      </c>
      <c r="S7" s="813">
        <v>0</v>
      </c>
      <c r="T7" s="682">
        <f t="shared" si="4"/>
        <v>0</v>
      </c>
    </row>
    <row r="8" spans="2:20">
      <c r="B8" s="730">
        <v>45052</v>
      </c>
      <c r="C8" s="625">
        <v>500</v>
      </c>
      <c r="D8" s="682">
        <f t="shared" si="0"/>
        <v>0.68493150684931503</v>
      </c>
      <c r="F8" s="730">
        <v>45083</v>
      </c>
      <c r="G8" s="681">
        <v>585</v>
      </c>
      <c r="H8" s="682">
        <f t="shared" si="1"/>
        <v>0.80136986301369861</v>
      </c>
      <c r="J8" s="730">
        <v>45113</v>
      </c>
      <c r="K8" s="624">
        <v>600</v>
      </c>
      <c r="L8" s="682">
        <f t="shared" si="2"/>
        <v>0.82191780821917804</v>
      </c>
      <c r="N8" s="730">
        <v>45144</v>
      </c>
      <c r="O8" s="624">
        <v>740</v>
      </c>
      <c r="P8" s="682">
        <f t="shared" si="5"/>
        <v>1.0136986301369864</v>
      </c>
      <c r="R8" s="730">
        <v>45227</v>
      </c>
      <c r="S8" s="813">
        <v>0</v>
      </c>
      <c r="T8" s="682">
        <f t="shared" si="4"/>
        <v>0</v>
      </c>
    </row>
    <row r="9" spans="2:20">
      <c r="B9" s="730">
        <v>45053</v>
      </c>
      <c r="C9" s="625">
        <v>500</v>
      </c>
      <c r="D9" s="682">
        <f t="shared" si="0"/>
        <v>0.68493150684931503</v>
      </c>
      <c r="F9" s="730">
        <v>45084</v>
      </c>
      <c r="G9" s="681">
        <v>585</v>
      </c>
      <c r="H9" s="682">
        <f t="shared" si="1"/>
        <v>0.80136986301369861</v>
      </c>
      <c r="J9" s="730">
        <v>45114</v>
      </c>
      <c r="K9" s="681">
        <v>610</v>
      </c>
      <c r="L9" s="682">
        <f t="shared" si="2"/>
        <v>0.83561643835616439</v>
      </c>
      <c r="N9" s="730">
        <v>45145</v>
      </c>
      <c r="O9" s="624">
        <v>685</v>
      </c>
      <c r="P9" s="682">
        <f t="shared" si="5"/>
        <v>0.93835616438356162</v>
      </c>
      <c r="R9" s="730">
        <v>45226</v>
      </c>
      <c r="S9" s="813">
        <v>0</v>
      </c>
      <c r="T9" s="682">
        <f t="shared" si="4"/>
        <v>0</v>
      </c>
    </row>
    <row r="10" spans="2:20">
      <c r="B10" s="730">
        <v>45054</v>
      </c>
      <c r="C10" s="625">
        <v>500</v>
      </c>
      <c r="D10" s="682">
        <f t="shared" si="0"/>
        <v>0.68493150684931503</v>
      </c>
      <c r="F10" s="730">
        <v>45085</v>
      </c>
      <c r="G10" s="681">
        <v>585</v>
      </c>
      <c r="H10" s="682">
        <f t="shared" si="1"/>
        <v>0.80136986301369861</v>
      </c>
      <c r="J10" s="730">
        <v>45115</v>
      </c>
      <c r="K10" s="624">
        <v>610</v>
      </c>
      <c r="L10" s="682">
        <f t="shared" si="2"/>
        <v>0.83561643835616439</v>
      </c>
      <c r="N10" s="730">
        <v>45146</v>
      </c>
      <c r="O10" s="722">
        <v>685</v>
      </c>
      <c r="P10" s="682">
        <f t="shared" si="5"/>
        <v>0.93835616438356162</v>
      </c>
      <c r="R10" s="730">
        <v>45225</v>
      </c>
      <c r="S10" s="813">
        <v>0</v>
      </c>
      <c r="T10" s="682">
        <f t="shared" si="4"/>
        <v>0</v>
      </c>
    </row>
    <row r="11" spans="2:20">
      <c r="B11" s="730">
        <v>45055</v>
      </c>
      <c r="C11" s="625">
        <v>500</v>
      </c>
      <c r="D11" s="682">
        <f t="shared" si="0"/>
        <v>0.68493150684931503</v>
      </c>
      <c r="F11" s="730">
        <v>45086</v>
      </c>
      <c r="G11" s="681">
        <v>585</v>
      </c>
      <c r="H11" s="682">
        <f t="shared" si="1"/>
        <v>0.80136986301369861</v>
      </c>
      <c r="J11" s="730">
        <v>45116</v>
      </c>
      <c r="K11" s="681">
        <v>610</v>
      </c>
      <c r="L11" s="682">
        <f t="shared" si="2"/>
        <v>0.83561643835616439</v>
      </c>
      <c r="N11" s="730">
        <v>45147</v>
      </c>
      <c r="O11" s="722">
        <v>685</v>
      </c>
      <c r="P11" s="682">
        <f t="shared" si="5"/>
        <v>0.93835616438356162</v>
      </c>
      <c r="R11" s="730">
        <v>45224</v>
      </c>
      <c r="S11" s="813">
        <v>0</v>
      </c>
      <c r="T11" s="682">
        <f t="shared" si="4"/>
        <v>0</v>
      </c>
    </row>
    <row r="12" spans="2:20">
      <c r="B12" s="730">
        <v>45056</v>
      </c>
      <c r="C12" s="625">
        <v>500</v>
      </c>
      <c r="D12" s="682">
        <f t="shared" si="0"/>
        <v>0.68493150684931503</v>
      </c>
      <c r="F12" s="730">
        <v>45087</v>
      </c>
      <c r="G12" s="681">
        <v>585</v>
      </c>
      <c r="H12" s="682">
        <f t="shared" si="1"/>
        <v>0.80136986301369861</v>
      </c>
      <c r="J12" s="730">
        <v>45117</v>
      </c>
      <c r="K12" s="624">
        <v>695</v>
      </c>
      <c r="L12" s="682">
        <f t="shared" si="2"/>
        <v>0.95205479452054798</v>
      </c>
      <c r="N12" s="730">
        <v>45148</v>
      </c>
      <c r="O12" s="624">
        <v>747</v>
      </c>
      <c r="P12" s="682">
        <f t="shared" si="5"/>
        <v>1.0232876712328767</v>
      </c>
      <c r="R12" s="730">
        <v>45223</v>
      </c>
      <c r="S12" s="813">
        <v>0</v>
      </c>
      <c r="T12" s="682">
        <f t="shared" si="4"/>
        <v>0</v>
      </c>
    </row>
    <row r="13" spans="2:20">
      <c r="B13" s="730">
        <v>45057</v>
      </c>
      <c r="C13" s="624">
        <v>515</v>
      </c>
      <c r="D13" s="682">
        <f t="shared" si="0"/>
        <v>0.70547945205479456</v>
      </c>
      <c r="F13" s="730">
        <v>45088</v>
      </c>
      <c r="G13" s="681">
        <v>585</v>
      </c>
      <c r="H13" s="682">
        <f t="shared" si="1"/>
        <v>0.80136986301369861</v>
      </c>
      <c r="J13" s="730">
        <v>45118</v>
      </c>
      <c r="K13" s="681">
        <v>730</v>
      </c>
      <c r="L13" s="682">
        <f t="shared" si="2"/>
        <v>1</v>
      </c>
      <c r="N13" s="730">
        <v>45149</v>
      </c>
      <c r="O13" s="624">
        <v>745</v>
      </c>
      <c r="P13" s="682">
        <f t="shared" si="5"/>
        <v>1.0205479452054795</v>
      </c>
      <c r="R13" s="730">
        <v>45222</v>
      </c>
      <c r="S13" s="813">
        <v>0</v>
      </c>
      <c r="T13" s="682">
        <f t="shared" si="4"/>
        <v>0</v>
      </c>
    </row>
    <row r="14" spans="2:20">
      <c r="B14" s="730">
        <v>45058</v>
      </c>
      <c r="C14" s="625">
        <v>515</v>
      </c>
      <c r="D14" s="682">
        <f t="shared" si="0"/>
        <v>0.70547945205479456</v>
      </c>
      <c r="F14" s="730">
        <v>45089</v>
      </c>
      <c r="G14" s="681">
        <v>585</v>
      </c>
      <c r="H14" s="682">
        <f t="shared" si="1"/>
        <v>0.80136986301369861</v>
      </c>
      <c r="J14" s="730">
        <v>45119</v>
      </c>
      <c r="K14" s="681">
        <v>730</v>
      </c>
      <c r="L14" s="682">
        <f t="shared" si="2"/>
        <v>1</v>
      </c>
      <c r="N14" s="730">
        <v>45150</v>
      </c>
      <c r="O14" s="722">
        <v>745</v>
      </c>
      <c r="P14" s="682">
        <f t="shared" si="5"/>
        <v>1.0205479452054795</v>
      </c>
      <c r="R14" s="730">
        <v>45221</v>
      </c>
      <c r="S14" s="813">
        <v>0</v>
      </c>
      <c r="T14" s="682">
        <f t="shared" si="4"/>
        <v>0</v>
      </c>
    </row>
    <row r="15" spans="2:20">
      <c r="B15" s="730">
        <v>45059</v>
      </c>
      <c r="C15" s="625">
        <v>515</v>
      </c>
      <c r="D15" s="682">
        <f t="shared" si="0"/>
        <v>0.70547945205479456</v>
      </c>
      <c r="F15" s="730">
        <v>45090</v>
      </c>
      <c r="G15" s="681">
        <v>585</v>
      </c>
      <c r="H15" s="682">
        <f t="shared" si="1"/>
        <v>0.80136986301369861</v>
      </c>
      <c r="J15" s="730">
        <v>45120</v>
      </c>
      <c r="K15" s="681">
        <v>730</v>
      </c>
      <c r="L15" s="682">
        <f t="shared" si="2"/>
        <v>1</v>
      </c>
      <c r="N15" s="730">
        <v>45151</v>
      </c>
      <c r="O15" s="722">
        <v>745</v>
      </c>
      <c r="P15" s="682">
        <f t="shared" si="5"/>
        <v>1.0205479452054795</v>
      </c>
      <c r="R15" s="730">
        <v>45220</v>
      </c>
      <c r="S15" s="813">
        <v>0</v>
      </c>
      <c r="T15" s="682">
        <f t="shared" si="4"/>
        <v>0</v>
      </c>
    </row>
    <row r="16" spans="2:20">
      <c r="B16" s="730">
        <v>45060</v>
      </c>
      <c r="C16" s="625">
        <v>515</v>
      </c>
      <c r="D16" s="682">
        <f t="shared" si="0"/>
        <v>0.70547945205479456</v>
      </c>
      <c r="F16" s="730">
        <v>45091</v>
      </c>
      <c r="G16" s="681">
        <v>585</v>
      </c>
      <c r="H16" s="682">
        <f t="shared" si="1"/>
        <v>0.80136986301369861</v>
      </c>
      <c r="J16" s="730">
        <v>45121</v>
      </c>
      <c r="K16" s="681">
        <v>730</v>
      </c>
      <c r="L16" s="682">
        <f t="shared" si="2"/>
        <v>1</v>
      </c>
      <c r="N16" s="730">
        <v>45152</v>
      </c>
      <c r="O16" s="722">
        <v>745</v>
      </c>
      <c r="P16" s="682">
        <f t="shared" si="5"/>
        <v>1.0205479452054795</v>
      </c>
      <c r="R16" s="730">
        <v>45219</v>
      </c>
      <c r="S16" s="813">
        <v>0</v>
      </c>
      <c r="T16" s="682">
        <f t="shared" si="4"/>
        <v>0</v>
      </c>
    </row>
    <row r="17" spans="2:20">
      <c r="B17" s="730">
        <v>45061</v>
      </c>
      <c r="C17" s="625">
        <v>515</v>
      </c>
      <c r="D17" s="682">
        <f t="shared" si="0"/>
        <v>0.70547945205479456</v>
      </c>
      <c r="F17" s="730">
        <v>45092</v>
      </c>
      <c r="G17" s="681">
        <v>585</v>
      </c>
      <c r="H17" s="682">
        <f t="shared" si="1"/>
        <v>0.80136986301369861</v>
      </c>
      <c r="J17" s="730">
        <v>45122</v>
      </c>
      <c r="K17" s="624">
        <v>730</v>
      </c>
      <c r="L17" s="682">
        <f t="shared" si="2"/>
        <v>1</v>
      </c>
      <c r="N17" s="730">
        <v>45153</v>
      </c>
      <c r="O17" s="722">
        <v>745</v>
      </c>
      <c r="P17" s="682">
        <f t="shared" si="5"/>
        <v>1.0205479452054795</v>
      </c>
      <c r="R17" s="730">
        <v>45218</v>
      </c>
      <c r="S17" s="813">
        <v>0</v>
      </c>
      <c r="T17" s="682">
        <f t="shared" si="4"/>
        <v>0</v>
      </c>
    </row>
    <row r="18" spans="2:20">
      <c r="B18" s="730">
        <v>45062</v>
      </c>
      <c r="C18" s="624">
        <v>540</v>
      </c>
      <c r="D18" s="682">
        <f t="shared" si="0"/>
        <v>0.73972602739726023</v>
      </c>
      <c r="F18" s="730">
        <v>45093</v>
      </c>
      <c r="G18" s="681">
        <v>585</v>
      </c>
      <c r="H18" s="682">
        <f t="shared" si="1"/>
        <v>0.80136986301369861</v>
      </c>
      <c r="J18" s="730">
        <v>45123</v>
      </c>
      <c r="K18" s="681">
        <v>730</v>
      </c>
      <c r="L18" s="682">
        <f t="shared" si="2"/>
        <v>1</v>
      </c>
      <c r="N18" s="730">
        <v>45154</v>
      </c>
      <c r="O18" s="624">
        <v>595</v>
      </c>
      <c r="P18" s="682">
        <f t="shared" si="5"/>
        <v>0.81506849315068497</v>
      </c>
      <c r="R18" s="730">
        <v>45217</v>
      </c>
      <c r="S18" s="813">
        <v>0</v>
      </c>
      <c r="T18" s="682">
        <f t="shared" si="4"/>
        <v>0</v>
      </c>
    </row>
    <row r="19" spans="2:20">
      <c r="B19" s="730">
        <v>45063</v>
      </c>
      <c r="C19" s="624">
        <v>545</v>
      </c>
      <c r="D19" s="682">
        <f t="shared" si="0"/>
        <v>0.74657534246575341</v>
      </c>
      <c r="F19" s="730">
        <v>45094</v>
      </c>
      <c r="G19" s="681">
        <v>585</v>
      </c>
      <c r="H19" s="682">
        <f t="shared" si="1"/>
        <v>0.80136986301369861</v>
      </c>
      <c r="J19" s="730">
        <v>45124</v>
      </c>
      <c r="K19" s="691">
        <v>730</v>
      </c>
      <c r="L19" s="682">
        <f t="shared" si="2"/>
        <v>1</v>
      </c>
      <c r="N19" s="730">
        <v>45155</v>
      </c>
      <c r="O19" s="624">
        <v>735</v>
      </c>
      <c r="P19" s="682">
        <f t="shared" si="5"/>
        <v>1.0068493150684932</v>
      </c>
      <c r="R19" s="730">
        <v>45216</v>
      </c>
      <c r="S19" s="813">
        <v>0</v>
      </c>
      <c r="T19" s="682">
        <f t="shared" si="4"/>
        <v>0</v>
      </c>
    </row>
    <row r="20" spans="2:20">
      <c r="B20" s="730">
        <v>45064</v>
      </c>
      <c r="C20" s="625">
        <v>545</v>
      </c>
      <c r="D20" s="682">
        <f t="shared" si="0"/>
        <v>0.74657534246575341</v>
      </c>
      <c r="F20" s="730">
        <v>45095</v>
      </c>
      <c r="G20" s="681">
        <v>585</v>
      </c>
      <c r="H20" s="682">
        <f t="shared" si="1"/>
        <v>0.80136986301369861</v>
      </c>
      <c r="J20" s="730">
        <v>45125</v>
      </c>
      <c r="K20" s="691">
        <v>730</v>
      </c>
      <c r="L20" s="682">
        <f t="shared" si="2"/>
        <v>1</v>
      </c>
      <c r="N20" s="730">
        <v>45156</v>
      </c>
      <c r="O20" s="624">
        <v>735</v>
      </c>
      <c r="P20" s="682">
        <f t="shared" si="5"/>
        <v>1.0068493150684932</v>
      </c>
      <c r="R20" s="730">
        <v>45215</v>
      </c>
      <c r="S20" s="813">
        <v>0</v>
      </c>
      <c r="T20" s="682">
        <f t="shared" si="4"/>
        <v>0</v>
      </c>
    </row>
    <row r="21" spans="2:20">
      <c r="B21" s="730">
        <v>45065</v>
      </c>
      <c r="C21" s="624">
        <v>545.79999999999995</v>
      </c>
      <c r="D21" s="682">
        <f t="shared" si="0"/>
        <v>0.74767123287671222</v>
      </c>
      <c r="F21" s="730">
        <v>45096</v>
      </c>
      <c r="G21" s="681">
        <v>585</v>
      </c>
      <c r="H21" s="682">
        <f t="shared" si="1"/>
        <v>0.80136986301369861</v>
      </c>
      <c r="J21" s="730">
        <v>45126</v>
      </c>
      <c r="K21" s="691">
        <v>730</v>
      </c>
      <c r="L21" s="682">
        <f t="shared" si="2"/>
        <v>1</v>
      </c>
      <c r="N21" s="730">
        <v>45157</v>
      </c>
      <c r="O21" s="724">
        <v>735</v>
      </c>
      <c r="P21" s="682">
        <f t="shared" si="5"/>
        <v>1.0068493150684932</v>
      </c>
      <c r="R21" s="730">
        <v>45214</v>
      </c>
      <c r="S21" s="813">
        <v>0</v>
      </c>
      <c r="T21" s="682">
        <f t="shared" si="4"/>
        <v>0</v>
      </c>
    </row>
    <row r="22" spans="2:20">
      <c r="B22" s="730">
        <v>45066</v>
      </c>
      <c r="C22" s="624">
        <v>545</v>
      </c>
      <c r="D22" s="682">
        <f t="shared" si="0"/>
        <v>0.74657534246575341</v>
      </c>
      <c r="F22" s="730">
        <v>45097</v>
      </c>
      <c r="G22" s="681">
        <v>585</v>
      </c>
      <c r="H22" s="682">
        <f t="shared" si="1"/>
        <v>0.80136986301369861</v>
      </c>
      <c r="J22" s="730">
        <v>45127</v>
      </c>
      <c r="K22" s="691">
        <v>730</v>
      </c>
      <c r="L22" s="682">
        <f t="shared" si="2"/>
        <v>1</v>
      </c>
      <c r="N22" s="730">
        <v>45158</v>
      </c>
      <c r="O22" s="724">
        <v>735</v>
      </c>
      <c r="P22" s="682">
        <f t="shared" si="5"/>
        <v>1.0068493150684932</v>
      </c>
      <c r="R22" s="730">
        <v>45213</v>
      </c>
      <c r="S22" s="813">
        <v>0</v>
      </c>
      <c r="T22" s="682">
        <f t="shared" si="4"/>
        <v>0</v>
      </c>
    </row>
    <row r="23" spans="2:20">
      <c r="B23" s="730">
        <v>45067</v>
      </c>
      <c r="C23" s="625">
        <v>545</v>
      </c>
      <c r="D23" s="682">
        <f>C23*1000*0.05%/365</f>
        <v>0.74657534246575341</v>
      </c>
      <c r="F23" s="730">
        <v>45098</v>
      </c>
      <c r="G23" s="681">
        <v>585</v>
      </c>
      <c r="H23" s="682">
        <f>G23*1000*0.05%/365</f>
        <v>0.80136986301369861</v>
      </c>
      <c r="J23" s="730">
        <v>45128</v>
      </c>
      <c r="K23" s="681">
        <v>735</v>
      </c>
      <c r="L23" s="682">
        <f>K23*1000*0.05%/365</f>
        <v>1.0068493150684932</v>
      </c>
      <c r="N23" s="730">
        <v>45159</v>
      </c>
      <c r="O23" s="624">
        <v>735</v>
      </c>
      <c r="P23" s="682">
        <f t="shared" si="5"/>
        <v>1.0068493150684932</v>
      </c>
      <c r="R23" s="730">
        <v>45212</v>
      </c>
      <c r="S23" s="813">
        <v>0</v>
      </c>
      <c r="T23" s="682">
        <f t="shared" si="4"/>
        <v>0</v>
      </c>
    </row>
    <row r="24" spans="2:20">
      <c r="B24" s="730">
        <v>45068</v>
      </c>
      <c r="C24" s="625">
        <v>545</v>
      </c>
      <c r="D24" s="682">
        <f t="shared" ref="D24:D32" si="6">C24*1000*0.05%/365</f>
        <v>0.74657534246575341</v>
      </c>
      <c r="F24" s="730">
        <v>45099</v>
      </c>
      <c r="G24" s="681">
        <v>585</v>
      </c>
      <c r="H24" s="682">
        <f t="shared" ref="H24:H32" si="7">G24*1000*0.05%/365</f>
        <v>0.80136986301369861</v>
      </c>
      <c r="J24" s="730">
        <v>45129</v>
      </c>
      <c r="K24" s="681">
        <v>735</v>
      </c>
      <c r="L24" s="682">
        <f t="shared" ref="L24:L32" si="8">K24*1000*0.05%/365</f>
        <v>1.0068493150684932</v>
      </c>
      <c r="N24" s="730">
        <v>45160</v>
      </c>
      <c r="O24" s="624">
        <v>735</v>
      </c>
      <c r="P24" s="682">
        <f t="shared" si="5"/>
        <v>1.0068493150684932</v>
      </c>
      <c r="R24" s="730">
        <v>45211</v>
      </c>
      <c r="S24" s="813">
        <v>0</v>
      </c>
      <c r="T24" s="682">
        <f t="shared" si="4"/>
        <v>0</v>
      </c>
    </row>
    <row r="25" spans="2:20" s="725" customFormat="1">
      <c r="B25" s="731">
        <v>45069</v>
      </c>
      <c r="C25" s="725">
        <v>545</v>
      </c>
      <c r="D25" s="727">
        <f t="shared" si="6"/>
        <v>0.74657534246575341</v>
      </c>
      <c r="F25" s="731">
        <v>45100</v>
      </c>
      <c r="G25" s="725">
        <v>585</v>
      </c>
      <c r="H25" s="727">
        <f t="shared" si="7"/>
        <v>0.80136986301369861</v>
      </c>
      <c r="J25" s="731">
        <v>45130</v>
      </c>
      <c r="K25" s="725">
        <v>735</v>
      </c>
      <c r="L25" s="727">
        <f t="shared" si="8"/>
        <v>1.0068493150684932</v>
      </c>
      <c r="N25" s="731">
        <v>45161</v>
      </c>
      <c r="O25" s="725">
        <v>738</v>
      </c>
      <c r="P25" s="727">
        <f t="shared" si="5"/>
        <v>1.010958904109589</v>
      </c>
      <c r="R25" s="730">
        <v>45210</v>
      </c>
      <c r="S25" s="813">
        <v>0</v>
      </c>
      <c r="T25" s="682">
        <f t="shared" si="4"/>
        <v>0</v>
      </c>
    </row>
    <row r="26" spans="2:20">
      <c r="B26" s="730">
        <v>45070</v>
      </c>
      <c r="C26" s="681">
        <v>550</v>
      </c>
      <c r="D26" s="682">
        <f t="shared" si="6"/>
        <v>0.75342465753424659</v>
      </c>
      <c r="F26" s="730">
        <v>45101</v>
      </c>
      <c r="G26" s="681">
        <v>585</v>
      </c>
      <c r="H26" s="682">
        <f t="shared" si="7"/>
        <v>0.80136986301369861</v>
      </c>
      <c r="J26" s="730">
        <v>45131</v>
      </c>
      <c r="K26" s="692">
        <v>735</v>
      </c>
      <c r="L26" s="682">
        <f t="shared" si="8"/>
        <v>1.0068493150684932</v>
      </c>
      <c r="N26" s="730">
        <v>45162</v>
      </c>
      <c r="O26" s="726">
        <v>738</v>
      </c>
      <c r="P26" s="682">
        <f t="shared" si="5"/>
        <v>1.010958904109589</v>
      </c>
      <c r="R26" s="730">
        <v>45209</v>
      </c>
      <c r="S26" s="813">
        <v>0</v>
      </c>
      <c r="T26" s="682">
        <f t="shared" si="4"/>
        <v>0</v>
      </c>
    </row>
    <row r="27" spans="2:20">
      <c r="B27" s="730">
        <v>45071</v>
      </c>
      <c r="C27" s="681">
        <v>550</v>
      </c>
      <c r="D27" s="682">
        <f t="shared" si="6"/>
        <v>0.75342465753424659</v>
      </c>
      <c r="F27" s="730">
        <v>45102</v>
      </c>
      <c r="G27" s="681">
        <v>585</v>
      </c>
      <c r="H27" s="682">
        <f t="shared" si="7"/>
        <v>0.80136986301369861</v>
      </c>
      <c r="J27" s="730">
        <v>45132</v>
      </c>
      <c r="K27" s="693">
        <v>740</v>
      </c>
      <c r="L27" s="682">
        <f t="shared" si="8"/>
        <v>1.0136986301369864</v>
      </c>
      <c r="N27" s="730">
        <v>45163</v>
      </c>
      <c r="O27" s="728">
        <v>748</v>
      </c>
      <c r="P27" s="682">
        <f t="shared" si="5"/>
        <v>1.0246575342465754</v>
      </c>
      <c r="R27" s="730">
        <v>45208</v>
      </c>
      <c r="S27" s="813">
        <v>0</v>
      </c>
      <c r="T27" s="682">
        <f t="shared" si="4"/>
        <v>0</v>
      </c>
    </row>
    <row r="28" spans="2:20">
      <c r="B28" s="730">
        <v>45072</v>
      </c>
      <c r="C28" s="681">
        <v>550</v>
      </c>
      <c r="D28" s="682">
        <f t="shared" si="6"/>
        <v>0.75342465753424659</v>
      </c>
      <c r="F28" s="730">
        <v>45103</v>
      </c>
      <c r="G28" s="681">
        <v>585</v>
      </c>
      <c r="H28" s="682">
        <f t="shared" si="7"/>
        <v>0.80136986301369861</v>
      </c>
      <c r="J28" s="730">
        <v>45133</v>
      </c>
      <c r="K28" s="715">
        <v>740</v>
      </c>
      <c r="L28" s="682">
        <f t="shared" si="8"/>
        <v>1.0136986301369864</v>
      </c>
      <c r="N28" s="730">
        <v>45164</v>
      </c>
      <c r="O28" s="732">
        <v>749</v>
      </c>
      <c r="P28" s="682">
        <f t="shared" si="5"/>
        <v>1.026027397260274</v>
      </c>
      <c r="R28" s="730">
        <v>45207</v>
      </c>
      <c r="S28" s="813">
        <v>306</v>
      </c>
      <c r="T28" s="682">
        <f t="shared" si="4"/>
        <v>29.342465753424662</v>
      </c>
    </row>
    <row r="29" spans="2:20">
      <c r="B29" s="730">
        <v>45073</v>
      </c>
      <c r="C29" s="681">
        <v>550</v>
      </c>
      <c r="D29" s="682">
        <f t="shared" si="6"/>
        <v>0.75342465753424659</v>
      </c>
      <c r="F29" s="730">
        <v>45104</v>
      </c>
      <c r="G29" s="681">
        <v>585</v>
      </c>
      <c r="H29" s="682">
        <f t="shared" si="7"/>
        <v>0.80136986301369861</v>
      </c>
      <c r="J29" s="730">
        <v>45134</v>
      </c>
      <c r="K29" s="715">
        <v>740</v>
      </c>
      <c r="L29" s="682">
        <f t="shared" si="8"/>
        <v>1.0136986301369864</v>
      </c>
      <c r="N29" s="730">
        <v>45165</v>
      </c>
      <c r="O29" s="734">
        <v>749</v>
      </c>
      <c r="P29" s="682">
        <f t="shared" si="5"/>
        <v>1.026027397260274</v>
      </c>
      <c r="R29" s="730">
        <v>45206</v>
      </c>
      <c r="S29" s="813">
        <v>0</v>
      </c>
      <c r="T29" s="682">
        <f t="shared" si="4"/>
        <v>0</v>
      </c>
    </row>
    <row r="30" spans="2:20">
      <c r="B30" s="730">
        <v>45074</v>
      </c>
      <c r="C30" s="681">
        <v>550</v>
      </c>
      <c r="D30" s="682">
        <f t="shared" si="6"/>
        <v>0.75342465753424659</v>
      </c>
      <c r="F30" s="730">
        <v>45105</v>
      </c>
      <c r="G30" s="681">
        <v>600</v>
      </c>
      <c r="H30" s="682">
        <f t="shared" si="7"/>
        <v>0.82191780821917804</v>
      </c>
      <c r="J30" s="730">
        <v>45135</v>
      </c>
      <c r="K30" s="715">
        <v>740</v>
      </c>
      <c r="L30" s="682">
        <f t="shared" si="8"/>
        <v>1.0136986301369864</v>
      </c>
      <c r="N30" s="730">
        <v>45166</v>
      </c>
      <c r="O30" s="624">
        <v>740</v>
      </c>
      <c r="P30" s="682">
        <f t="shared" si="5"/>
        <v>1.0136986301369864</v>
      </c>
      <c r="R30" s="730">
        <v>45205</v>
      </c>
      <c r="S30" s="813">
        <v>0</v>
      </c>
      <c r="T30" s="682">
        <f t="shared" si="4"/>
        <v>0</v>
      </c>
    </row>
    <row r="31" spans="2:20">
      <c r="B31" s="730">
        <v>45075</v>
      </c>
      <c r="C31" s="624">
        <v>550</v>
      </c>
      <c r="D31" s="682">
        <f t="shared" si="6"/>
        <v>0.75342465753424659</v>
      </c>
      <c r="F31" s="730">
        <v>45106</v>
      </c>
      <c r="G31" s="681">
        <v>600</v>
      </c>
      <c r="H31" s="682">
        <f t="shared" si="7"/>
        <v>0.82191780821917804</v>
      </c>
      <c r="J31" s="730">
        <v>45136</v>
      </c>
      <c r="K31" s="681">
        <v>750</v>
      </c>
      <c r="L31" s="682">
        <f t="shared" si="8"/>
        <v>1.0273972602739727</v>
      </c>
      <c r="N31" s="730">
        <v>45167</v>
      </c>
      <c r="O31" s="624">
        <v>604</v>
      </c>
      <c r="P31" s="682">
        <f t="shared" si="5"/>
        <v>0.82739726027397265</v>
      </c>
      <c r="R31" s="730">
        <v>45204</v>
      </c>
      <c r="S31" s="758">
        <v>0</v>
      </c>
      <c r="T31" s="682">
        <f t="shared" si="4"/>
        <v>0</v>
      </c>
    </row>
    <row r="32" spans="2:20">
      <c r="B32" s="730">
        <v>45076</v>
      </c>
      <c r="C32" s="624">
        <v>585</v>
      </c>
      <c r="D32" s="682">
        <f t="shared" si="6"/>
        <v>0.80136986301369861</v>
      </c>
      <c r="F32" s="730">
        <v>45107</v>
      </c>
      <c r="G32" s="681">
        <v>600</v>
      </c>
      <c r="H32" s="682">
        <f t="shared" si="7"/>
        <v>0.82191780821917804</v>
      </c>
      <c r="J32" s="730">
        <v>45137</v>
      </c>
      <c r="K32" s="681">
        <v>750</v>
      </c>
      <c r="L32" s="682">
        <f t="shared" si="8"/>
        <v>1.0273972602739727</v>
      </c>
      <c r="N32" s="730">
        <v>45168</v>
      </c>
      <c r="O32" s="624">
        <v>471</v>
      </c>
      <c r="P32" s="682">
        <f t="shared" si="5"/>
        <v>0.64520547945205475</v>
      </c>
      <c r="R32" s="730">
        <v>45203</v>
      </c>
      <c r="S32" s="758">
        <v>0</v>
      </c>
      <c r="T32" s="682">
        <f t="shared" si="4"/>
        <v>0</v>
      </c>
    </row>
    <row r="33" spans="1:20">
      <c r="B33" s="730">
        <v>45077</v>
      </c>
      <c r="C33" s="624">
        <v>585</v>
      </c>
      <c r="D33" s="682">
        <f t="shared" ref="D33" si="9">C33*1000*0.05/100/365</f>
        <v>0.80136986301369861</v>
      </c>
      <c r="J33" s="730">
        <v>45138</v>
      </c>
      <c r="K33" s="681">
        <v>750</v>
      </c>
      <c r="L33" s="682">
        <f t="shared" ref="L33" si="10">K33*1000*0.05/100/365</f>
        <v>1.0273972602739727</v>
      </c>
      <c r="N33" s="730">
        <v>45169</v>
      </c>
      <c r="O33" s="624">
        <v>480</v>
      </c>
      <c r="P33" s="682">
        <f t="shared" si="5"/>
        <v>0.65753424657534243</v>
      </c>
      <c r="R33" s="730">
        <v>45202</v>
      </c>
      <c r="S33" s="758">
        <v>0</v>
      </c>
      <c r="T33" s="682">
        <f t="shared" si="4"/>
        <v>0</v>
      </c>
    </row>
    <row r="34" spans="1:20">
      <c r="R34" s="730">
        <v>45201</v>
      </c>
      <c r="S34" s="758">
        <v>0</v>
      </c>
      <c r="T34" s="682">
        <f t="shared" si="4"/>
        <v>0</v>
      </c>
    </row>
    <row r="35" spans="1:20">
      <c r="B35" s="730" t="s">
        <v>2791</v>
      </c>
      <c r="D35" s="383">
        <f>SUM(D3:D33)*88</f>
        <v>1895.7128767123286</v>
      </c>
      <c r="F35" s="730" t="s">
        <v>2791</v>
      </c>
      <c r="H35" s="383">
        <f>SUM(H3:H33)*88</f>
        <v>2121.0410958904108</v>
      </c>
      <c r="J35" s="730" t="s">
        <v>2791</v>
      </c>
      <c r="L35" s="383">
        <f>SUM(L3:L33)*88</f>
        <v>2597.8082191780818</v>
      </c>
      <c r="N35" s="730" t="s">
        <v>2791</v>
      </c>
      <c r="P35" s="383">
        <f>SUM(P3:P33)*88</f>
        <v>2650.7287671232875</v>
      </c>
      <c r="R35" s="730">
        <v>45200</v>
      </c>
      <c r="S35" s="758">
        <v>300</v>
      </c>
      <c r="T35" s="682">
        <f t="shared" si="4"/>
        <v>28.767123287671239</v>
      </c>
    </row>
    <row r="36" spans="1:20">
      <c r="A36" s="723"/>
      <c r="B36" s="730" t="s">
        <v>3062</v>
      </c>
      <c r="C36" s="723"/>
      <c r="D36" s="383">
        <f>'HIS19'!KQ24</f>
        <v>1895.66</v>
      </c>
      <c r="E36" s="723"/>
      <c r="G36" s="723"/>
      <c r="H36" s="383"/>
      <c r="I36" s="723"/>
      <c r="K36" s="723"/>
      <c r="L36" s="383"/>
      <c r="M36" s="723"/>
      <c r="O36" s="723"/>
      <c r="P36" s="383"/>
      <c r="R36" s="730" t="s">
        <v>2791</v>
      </c>
      <c r="T36" s="383">
        <f>SUM(T5:T35)</f>
        <v>58.109589041095902</v>
      </c>
    </row>
    <row r="37" spans="1:20" s="723" customFormat="1">
      <c r="A37"/>
      <c r="B37" s="730"/>
      <c r="C37"/>
      <c r="D37"/>
      <c r="E37"/>
      <c r="F37" s="730"/>
      <c r="G37" s="624"/>
      <c r="H37" s="624"/>
      <c r="I37" s="624"/>
      <c r="J37" s="730"/>
      <c r="K37" s="624"/>
      <c r="L37" s="624"/>
      <c r="M37" s="624"/>
      <c r="N37" s="730"/>
      <c r="O37" s="624"/>
      <c r="P37" s="624"/>
      <c r="R37" s="730" t="s">
        <v>2912</v>
      </c>
      <c r="S37" s="758"/>
      <c r="T37" s="758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55" sqref="G55"/>
    </sheetView>
  </sheetViews>
  <sheetFormatPr defaultColWidth="9.140625" defaultRowHeight="12.75"/>
  <cols>
    <col min="1" max="1" width="1.85546875" style="470" customWidth="1"/>
    <col min="2" max="2" width="11" style="470" bestFit="1" customWidth="1"/>
    <col min="3" max="3" width="11.28515625" style="470" bestFit="1" customWidth="1"/>
    <col min="4" max="4" width="12.42578125" style="674" bestFit="1" customWidth="1"/>
    <col min="5" max="5" width="6.28515625" style="470" bestFit="1" customWidth="1"/>
    <col min="6" max="6" width="6.28515625" style="470" customWidth="1"/>
    <col min="7" max="7" width="7.140625" style="470" bestFit="1" customWidth="1"/>
    <col min="8" max="8" width="11.5703125" style="470" customWidth="1"/>
    <col min="9" max="10" width="12" style="470" bestFit="1" customWidth="1"/>
    <col min="11" max="11" width="7" style="470" bestFit="1" customWidth="1"/>
    <col min="12" max="16384" width="9.140625" style="470"/>
  </cols>
  <sheetData>
    <row r="2" spans="2:10">
      <c r="B2" s="595" t="s">
        <v>2670</v>
      </c>
      <c r="C2" s="595"/>
      <c r="D2" s="674" t="s">
        <v>2852</v>
      </c>
    </row>
    <row r="3" spans="2:10" ht="14.25">
      <c r="B3" s="242">
        <f t="shared" ref="B3:B33" si="0">MIN(D3,100000)</f>
        <v>0</v>
      </c>
      <c r="C3" s="729">
        <v>45230</v>
      </c>
      <c r="D3" s="673">
        <v>0</v>
      </c>
      <c r="E3" s="597">
        <f>VLOOKUP(D3,$H$5:$I$8,2)</f>
        <v>1.5E-3</v>
      </c>
    </row>
    <row r="4" spans="2:10" ht="14.25">
      <c r="B4" s="242">
        <f t="shared" si="0"/>
        <v>0</v>
      </c>
      <c r="C4" s="729">
        <v>45229</v>
      </c>
      <c r="D4" s="673">
        <v>0</v>
      </c>
      <c r="E4" s="597">
        <f>VLOOKUP(D4,$H$5:$I$8,2)</f>
        <v>1.5E-3</v>
      </c>
      <c r="F4" s="597"/>
      <c r="H4" s="219" t="s">
        <v>2764</v>
      </c>
      <c r="I4" s="219" t="s">
        <v>2962</v>
      </c>
      <c r="J4" s="219" t="s">
        <v>2765</v>
      </c>
    </row>
    <row r="5" spans="2:10" ht="14.25">
      <c r="B5" s="242">
        <f t="shared" si="0"/>
        <v>0</v>
      </c>
      <c r="C5" s="729">
        <v>45228</v>
      </c>
      <c r="D5" s="673">
        <v>0</v>
      </c>
      <c r="E5" s="597">
        <f t="shared" ref="E5:E33" si="1">VLOOKUP(D5,$H$5:$I$8,2)</f>
        <v>1.5E-3</v>
      </c>
      <c r="F5" s="597"/>
      <c r="H5" s="525">
        <v>0</v>
      </c>
      <c r="I5" s="675">
        <v>1.5E-3</v>
      </c>
      <c r="J5" s="219" t="s">
        <v>2767</v>
      </c>
    </row>
    <row r="6" spans="2:10" ht="14.25">
      <c r="B6" s="242">
        <f t="shared" si="0"/>
        <v>0</v>
      </c>
      <c r="C6" s="729">
        <v>45227</v>
      </c>
      <c r="D6" s="673">
        <v>0</v>
      </c>
      <c r="E6" s="597">
        <f t="shared" si="1"/>
        <v>1.5E-3</v>
      </c>
      <c r="F6" s="597"/>
      <c r="H6" s="525">
        <v>5000</v>
      </c>
      <c r="I6" s="675">
        <v>2E-3</v>
      </c>
      <c r="J6" s="219"/>
    </row>
    <row r="7" spans="2:10" ht="14.25">
      <c r="B7" s="242">
        <f t="shared" si="0"/>
        <v>100000</v>
      </c>
      <c r="C7" s="729">
        <v>45226</v>
      </c>
      <c r="D7" s="714">
        <v>100832.77</v>
      </c>
      <c r="E7" s="597">
        <f t="shared" si="1"/>
        <v>4.0000000000000001E-3</v>
      </c>
      <c r="F7" s="597"/>
      <c r="H7" s="525">
        <v>20000</v>
      </c>
      <c r="I7" s="675">
        <v>3.0000000000000001E-3</v>
      </c>
      <c r="J7" s="219"/>
    </row>
    <row r="8" spans="2:10" ht="14.25">
      <c r="B8" s="242">
        <f t="shared" si="0"/>
        <v>100000</v>
      </c>
      <c r="C8" s="729">
        <v>45225</v>
      </c>
      <c r="D8" s="714">
        <v>100832.77</v>
      </c>
      <c r="E8" s="597">
        <f>VLOOKUP(D8,$H$5:$I$8,2)</f>
        <v>4.0000000000000001E-3</v>
      </c>
      <c r="F8" s="597"/>
      <c r="H8" s="525">
        <v>100000</v>
      </c>
      <c r="I8" s="675">
        <v>4.0000000000000001E-3</v>
      </c>
      <c r="J8" s="219" t="s">
        <v>2766</v>
      </c>
    </row>
    <row r="9" spans="2:10" ht="14.25">
      <c r="B9" s="242">
        <f t="shared" si="0"/>
        <v>100000</v>
      </c>
      <c r="C9" s="729">
        <v>45224</v>
      </c>
      <c r="D9" s="714">
        <v>100832.77</v>
      </c>
      <c r="E9" s="597">
        <f t="shared" si="1"/>
        <v>4.0000000000000001E-3</v>
      </c>
      <c r="F9" s="597"/>
      <c r="H9" s="219"/>
      <c r="I9" s="219"/>
      <c r="J9" s="219"/>
    </row>
    <row r="10" spans="2:10" ht="14.25">
      <c r="B10" s="242">
        <f t="shared" si="0"/>
        <v>100000</v>
      </c>
      <c r="C10" s="729">
        <v>45223</v>
      </c>
      <c r="D10" s="714">
        <v>100832.77</v>
      </c>
      <c r="E10" s="597">
        <f t="shared" si="1"/>
        <v>4.0000000000000001E-3</v>
      </c>
      <c r="F10" s="597"/>
    </row>
    <row r="11" spans="2:10" ht="14.25">
      <c r="B11" s="242">
        <f t="shared" si="0"/>
        <v>100000</v>
      </c>
      <c r="C11" s="729">
        <v>45222</v>
      </c>
      <c r="D11" s="714">
        <v>100832.77</v>
      </c>
      <c r="E11" s="597">
        <f>VLOOKUP(D11,$H$5:$I$8,2)</f>
        <v>4.0000000000000001E-3</v>
      </c>
      <c r="F11" s="597"/>
    </row>
    <row r="12" spans="2:10" ht="14.25">
      <c r="B12" s="242">
        <f t="shared" si="0"/>
        <v>100000</v>
      </c>
      <c r="C12" s="729">
        <v>45221</v>
      </c>
      <c r="D12" s="714">
        <v>100832.77</v>
      </c>
      <c r="E12" s="597">
        <f t="shared" si="1"/>
        <v>4.0000000000000001E-3</v>
      </c>
      <c r="F12" s="597"/>
    </row>
    <row r="13" spans="2:10" ht="14.25">
      <c r="B13" s="242">
        <f t="shared" si="0"/>
        <v>100000</v>
      </c>
      <c r="C13" s="729">
        <v>45220</v>
      </c>
      <c r="D13" s="714">
        <v>100832.77</v>
      </c>
      <c r="E13" s="597">
        <f t="shared" si="1"/>
        <v>4.0000000000000001E-3</v>
      </c>
      <c r="F13" s="597"/>
    </row>
    <row r="14" spans="2:10" ht="14.25">
      <c r="B14" s="242">
        <f t="shared" si="0"/>
        <v>100000</v>
      </c>
      <c r="C14" s="729">
        <v>45219</v>
      </c>
      <c r="D14" s="714">
        <v>100991.77</v>
      </c>
      <c r="E14" s="597">
        <f t="shared" si="1"/>
        <v>4.0000000000000001E-3</v>
      </c>
      <c r="F14" s="597"/>
    </row>
    <row r="15" spans="2:10" ht="14.25">
      <c r="B15" s="242">
        <f t="shared" si="0"/>
        <v>100000</v>
      </c>
      <c r="C15" s="729">
        <v>45218</v>
      </c>
      <c r="D15" s="714">
        <v>100991.77</v>
      </c>
      <c r="E15" s="597">
        <f t="shared" si="1"/>
        <v>4.0000000000000001E-3</v>
      </c>
      <c r="F15" s="597"/>
    </row>
    <row r="16" spans="2:10" ht="14.25">
      <c r="B16" s="242">
        <f t="shared" si="0"/>
        <v>100000</v>
      </c>
      <c r="C16" s="729">
        <v>45217</v>
      </c>
      <c r="D16" s="714">
        <v>101191.77</v>
      </c>
      <c r="E16" s="597">
        <f t="shared" si="1"/>
        <v>4.0000000000000001E-3</v>
      </c>
      <c r="F16" s="597"/>
    </row>
    <row r="17" spans="2:11" ht="14.25">
      <c r="B17" s="242">
        <f t="shared" si="0"/>
        <v>100000</v>
      </c>
      <c r="C17" s="729">
        <v>45216</v>
      </c>
      <c r="D17" s="714">
        <v>101191.77</v>
      </c>
      <c r="E17" s="597">
        <f t="shared" si="1"/>
        <v>4.0000000000000001E-3</v>
      </c>
      <c r="F17" s="597"/>
    </row>
    <row r="18" spans="2:11" ht="14.25">
      <c r="B18" s="242">
        <f t="shared" si="0"/>
        <v>100000</v>
      </c>
      <c r="C18" s="729">
        <v>45215</v>
      </c>
      <c r="D18" s="714">
        <v>101191.77</v>
      </c>
      <c r="E18" s="597">
        <f t="shared" si="1"/>
        <v>4.0000000000000001E-3</v>
      </c>
      <c r="F18" s="597"/>
    </row>
    <row r="19" spans="2:11" ht="14.25">
      <c r="B19" s="242">
        <f t="shared" si="0"/>
        <v>100000</v>
      </c>
      <c r="C19" s="729">
        <v>45214</v>
      </c>
      <c r="D19" s="714">
        <v>101191.77</v>
      </c>
      <c r="E19" s="597">
        <f>VLOOKUP(D19,$H$5:$I$8,2)</f>
        <v>4.0000000000000001E-3</v>
      </c>
      <c r="F19" s="597"/>
    </row>
    <row r="20" spans="2:11" ht="14.25">
      <c r="B20" s="242">
        <f t="shared" si="0"/>
        <v>100000</v>
      </c>
      <c r="C20" s="729">
        <v>45213</v>
      </c>
      <c r="D20" s="714">
        <v>101191.77</v>
      </c>
      <c r="E20" s="597">
        <f t="shared" si="1"/>
        <v>4.0000000000000001E-3</v>
      </c>
      <c r="F20" s="597"/>
    </row>
    <row r="21" spans="2:11" ht="14.25">
      <c r="B21" s="242">
        <f t="shared" si="0"/>
        <v>100000</v>
      </c>
      <c r="C21" s="729">
        <v>45212</v>
      </c>
      <c r="D21" s="714">
        <v>101270.77</v>
      </c>
      <c r="E21" s="597">
        <f t="shared" si="1"/>
        <v>4.0000000000000001E-3</v>
      </c>
      <c r="F21" s="597"/>
    </row>
    <row r="22" spans="2:11" ht="14.25">
      <c r="B22" s="242">
        <f t="shared" si="0"/>
        <v>100000</v>
      </c>
      <c r="C22" s="729">
        <v>45211</v>
      </c>
      <c r="D22" s="714">
        <v>101270.77</v>
      </c>
      <c r="E22" s="597">
        <f t="shared" si="1"/>
        <v>4.0000000000000001E-3</v>
      </c>
      <c r="F22" s="597"/>
    </row>
    <row r="23" spans="2:11" ht="14.25">
      <c r="B23" s="242">
        <f t="shared" si="0"/>
        <v>100000</v>
      </c>
      <c r="C23" s="729">
        <v>45210</v>
      </c>
      <c r="D23" s="714">
        <v>101270.77</v>
      </c>
      <c r="E23" s="597">
        <f t="shared" si="1"/>
        <v>4.0000000000000001E-3</v>
      </c>
      <c r="F23" s="597"/>
    </row>
    <row r="24" spans="2:11" ht="14.25">
      <c r="B24" s="242">
        <f t="shared" si="0"/>
        <v>100000</v>
      </c>
      <c r="C24" s="729">
        <v>45209</v>
      </c>
      <c r="D24" s="714">
        <v>101270.77</v>
      </c>
      <c r="E24" s="597">
        <f t="shared" si="1"/>
        <v>4.0000000000000001E-3</v>
      </c>
      <c r="F24" s="597"/>
    </row>
    <row r="25" spans="2:11" ht="14.25">
      <c r="B25" s="242">
        <f t="shared" si="0"/>
        <v>100000</v>
      </c>
      <c r="C25" s="729">
        <v>45208</v>
      </c>
      <c r="D25" s="714">
        <v>101270.77</v>
      </c>
      <c r="E25" s="597">
        <f t="shared" si="1"/>
        <v>4.0000000000000001E-3</v>
      </c>
      <c r="F25" s="597"/>
    </row>
    <row r="26" spans="2:11" ht="14.25">
      <c r="B26" s="242">
        <f t="shared" si="0"/>
        <v>100000</v>
      </c>
      <c r="C26" s="729">
        <v>45207</v>
      </c>
      <c r="D26" s="814">
        <v>101000.83</v>
      </c>
      <c r="E26" s="597">
        <f t="shared" si="1"/>
        <v>4.0000000000000001E-3</v>
      </c>
      <c r="F26" s="597"/>
    </row>
    <row r="27" spans="2:11" ht="14.25">
      <c r="B27" s="242">
        <f t="shared" si="0"/>
        <v>100000</v>
      </c>
      <c r="C27" s="729">
        <v>45206</v>
      </c>
      <c r="D27" s="714">
        <v>100260.82</v>
      </c>
      <c r="E27" s="597">
        <f t="shared" si="1"/>
        <v>4.0000000000000001E-3</v>
      </c>
      <c r="F27" s="597"/>
    </row>
    <row r="28" spans="2:11" ht="14.25">
      <c r="B28" s="242">
        <f t="shared" si="0"/>
        <v>100000</v>
      </c>
      <c r="C28" s="729">
        <v>45205</v>
      </c>
      <c r="D28" s="714">
        <v>101135.62</v>
      </c>
      <c r="E28" s="597">
        <f t="shared" si="1"/>
        <v>4.0000000000000001E-3</v>
      </c>
      <c r="F28" s="597"/>
    </row>
    <row r="29" spans="2:11" ht="14.25">
      <c r="B29" s="242">
        <f t="shared" si="0"/>
        <v>100000</v>
      </c>
      <c r="C29" s="729">
        <v>45204</v>
      </c>
      <c r="D29" s="673">
        <v>101622.62</v>
      </c>
      <c r="E29" s="597">
        <f t="shared" si="1"/>
        <v>4.0000000000000001E-3</v>
      </c>
      <c r="F29" s="597"/>
      <c r="H29" s="470" t="s">
        <v>2587</v>
      </c>
      <c r="I29" s="470" t="s">
        <v>2588</v>
      </c>
      <c r="J29" s="470" t="s">
        <v>2671</v>
      </c>
      <c r="K29" s="470" t="s">
        <v>2589</v>
      </c>
    </row>
    <row r="30" spans="2:11" ht="14.25">
      <c r="B30" s="242">
        <f t="shared" si="0"/>
        <v>100000</v>
      </c>
      <c r="C30" s="729">
        <v>45203</v>
      </c>
      <c r="D30" s="673">
        <v>101622.62</v>
      </c>
      <c r="E30" s="597">
        <f t="shared" si="1"/>
        <v>4.0000000000000001E-3</v>
      </c>
      <c r="F30" s="597"/>
      <c r="H30" s="597">
        <v>2.5000000000000001E-2</v>
      </c>
      <c r="I30" s="597">
        <v>8.9999999999999993E-3</v>
      </c>
      <c r="J30" s="597">
        <v>8.0000000000000002E-3</v>
      </c>
      <c r="K30" s="597"/>
    </row>
    <row r="31" spans="2:11" ht="14.25">
      <c r="B31" s="242">
        <f t="shared" si="0"/>
        <v>100000</v>
      </c>
      <c r="C31" s="729">
        <v>45202</v>
      </c>
      <c r="D31" s="673">
        <v>101622.62</v>
      </c>
      <c r="E31" s="597">
        <f t="shared" si="1"/>
        <v>4.0000000000000001E-3</v>
      </c>
      <c r="F31" s="597"/>
      <c r="H31" s="598">
        <f>$B$35</f>
        <v>87096.774193548394</v>
      </c>
      <c r="I31" s="598">
        <f>$B$35</f>
        <v>87096.774193548394</v>
      </c>
      <c r="J31" s="598">
        <f>$B$35</f>
        <v>87096.774193548394</v>
      </c>
    </row>
    <row r="32" spans="2:11" ht="14.25">
      <c r="B32" s="242">
        <f t="shared" si="0"/>
        <v>100000</v>
      </c>
      <c r="C32" s="729">
        <v>45201</v>
      </c>
      <c r="D32" s="673">
        <v>101622.62</v>
      </c>
      <c r="E32" s="597">
        <f t="shared" si="1"/>
        <v>4.0000000000000001E-3</v>
      </c>
      <c r="F32" s="597"/>
      <c r="H32" s="470" t="s">
        <v>2637</v>
      </c>
      <c r="I32" s="470" t="s">
        <v>2637</v>
      </c>
      <c r="J32" s="470" t="s">
        <v>2637</v>
      </c>
      <c r="K32" s="470" t="s">
        <v>2637</v>
      </c>
    </row>
    <row r="33" spans="2:11" ht="14.25">
      <c r="B33" s="242">
        <f t="shared" si="0"/>
        <v>100000</v>
      </c>
      <c r="C33" s="729">
        <v>45200</v>
      </c>
      <c r="D33" s="714">
        <v>100669.58</v>
      </c>
      <c r="E33" s="597">
        <f t="shared" si="1"/>
        <v>4.0000000000000001E-3</v>
      </c>
      <c r="F33" s="597"/>
      <c r="H33" s="470">
        <f>H30*H31/365*31</f>
        <v>184.93150684931507</v>
      </c>
      <c r="I33" s="470">
        <f t="shared" ref="I33:J33" si="2">I30*I31/365*31</f>
        <v>66.575342465753423</v>
      </c>
      <c r="J33" s="470">
        <f t="shared" si="2"/>
        <v>59.178082191780824</v>
      </c>
      <c r="K33" s="598">
        <f>D35</f>
        <v>29.914333808219183</v>
      </c>
    </row>
    <row r="34" spans="2:11">
      <c r="B34" s="242"/>
      <c r="C34" s="596"/>
      <c r="D34" s="629"/>
      <c r="E34" s="597"/>
      <c r="F34" s="597"/>
      <c r="G34" s="470" t="s">
        <v>2684</v>
      </c>
    </row>
    <row r="35" spans="2:11">
      <c r="B35" s="598">
        <f>AVERAGE(B3:B33)</f>
        <v>87096.774193548394</v>
      </c>
      <c r="D35" s="900">
        <f>SUMPRODUCT(D3:D33,E3:E33)/365</f>
        <v>29.914333808219183</v>
      </c>
      <c r="E35" s="900"/>
      <c r="F35" s="599"/>
    </row>
    <row r="36" spans="2:11">
      <c r="B36" s="595" t="s">
        <v>2689</v>
      </c>
      <c r="D36" s="900" t="s">
        <v>2679</v>
      </c>
      <c r="E36" s="900"/>
      <c r="F36" s="59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55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555" bestFit="1" customWidth="1"/>
    <col min="6" max="6" width="5.5703125" style="568" bestFit="1" customWidth="1"/>
    <col min="7" max="8" width="9.7109375" bestFit="1" customWidth="1"/>
    <col min="9" max="9" width="21.140625" bestFit="1" customWidth="1"/>
  </cols>
  <sheetData>
    <row r="2" spans="2:9" s="555" customFormat="1" ht="25.5">
      <c r="B2" s="557" t="s">
        <v>2610</v>
      </c>
      <c r="C2" s="557" t="s">
        <v>311</v>
      </c>
      <c r="D2" s="558" t="s">
        <v>2614</v>
      </c>
      <c r="E2" s="559" t="s">
        <v>2611</v>
      </c>
      <c r="F2" s="559" t="s">
        <v>2639</v>
      </c>
      <c r="G2" s="559" t="s">
        <v>2612</v>
      </c>
      <c r="H2" s="557" t="s">
        <v>460</v>
      </c>
      <c r="I2" s="556" t="s">
        <v>2609</v>
      </c>
    </row>
    <row r="3" spans="2:9" ht="14.25">
      <c r="B3" s="227"/>
      <c r="C3" s="227">
        <v>102000</v>
      </c>
      <c r="D3" s="227">
        <v>0</v>
      </c>
      <c r="E3" s="227">
        <v>0</v>
      </c>
      <c r="F3" s="570" t="s">
        <v>2638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571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572" t="s">
        <v>2638</v>
      </c>
      <c r="G5" s="227">
        <f>SUM(B5:E5)</f>
        <v>112574</v>
      </c>
      <c r="H5" s="81">
        <v>43891</v>
      </c>
      <c r="I5" s="63"/>
    </row>
    <row r="6" spans="2:9" s="555" customFormat="1">
      <c r="B6" s="227"/>
      <c r="C6" s="227"/>
      <c r="D6" s="227"/>
      <c r="E6" s="227"/>
      <c r="F6" s="571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572" t="s">
        <v>2638</v>
      </c>
      <c r="G7" s="227">
        <f>SUM(B7:E7)</f>
        <v>112225.48</v>
      </c>
      <c r="H7" s="81">
        <v>44195</v>
      </c>
      <c r="I7" s="63" t="s">
        <v>2615</v>
      </c>
    </row>
    <row r="8" spans="2:9">
      <c r="B8" s="227"/>
      <c r="C8" s="227"/>
      <c r="D8" s="227"/>
      <c r="E8" s="227"/>
      <c r="F8" s="571"/>
      <c r="G8" s="227"/>
      <c r="H8" s="63"/>
      <c r="I8" s="63"/>
    </row>
    <row r="9" spans="2:9" ht="14.25">
      <c r="B9" s="227">
        <f>$B$7</f>
        <v>13108.48</v>
      </c>
      <c r="C9" s="560">
        <v>5000</v>
      </c>
      <c r="D9" s="227">
        <v>84000</v>
      </c>
      <c r="E9" s="227">
        <v>8848</v>
      </c>
      <c r="F9" s="572" t="s">
        <v>2638</v>
      </c>
      <c r="G9" s="560">
        <f>SUM(B9:E9)</f>
        <v>110956.48</v>
      </c>
      <c r="H9" s="81">
        <v>44548</v>
      </c>
      <c r="I9" s="63"/>
    </row>
    <row r="10" spans="2:9" s="555" customFormat="1">
      <c r="B10" s="227"/>
      <c r="C10" s="227" t="s">
        <v>2616</v>
      </c>
      <c r="D10" s="227"/>
      <c r="E10" s="227"/>
      <c r="F10" s="571"/>
      <c r="G10" s="227" t="s">
        <v>2617</v>
      </c>
      <c r="H10" s="81"/>
      <c r="I10" s="63"/>
    </row>
    <row r="11" spans="2:9" s="555" customFormat="1">
      <c r="B11" s="227"/>
      <c r="C11" s="227"/>
      <c r="D11" s="227"/>
      <c r="E11" s="227"/>
      <c r="F11" s="571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572" t="s">
        <v>2638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572" t="s">
        <v>2638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572" t="s">
        <v>2638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572" t="s">
        <v>2638</v>
      </c>
      <c r="G15" s="227">
        <f t="shared" si="1"/>
        <v>108175.48</v>
      </c>
      <c r="H15" s="81">
        <v>44701</v>
      </c>
      <c r="I15" s="63" t="s">
        <v>2813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572" t="s">
        <v>2638</v>
      </c>
      <c r="G16" s="227">
        <f t="shared" si="1"/>
        <v>109985.48</v>
      </c>
      <c r="H16" s="81">
        <v>44727</v>
      </c>
      <c r="I16" s="63" t="s">
        <v>2618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572" t="s">
        <v>2638</v>
      </c>
      <c r="G17" s="227">
        <f t="shared" si="1"/>
        <v>105859.48</v>
      </c>
      <c r="H17" s="81">
        <v>44788</v>
      </c>
      <c r="I17" s="63" t="s">
        <v>2613</v>
      </c>
    </row>
    <row r="18" spans="2:9" s="555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572" t="s">
        <v>2638</v>
      </c>
      <c r="G18" s="227">
        <f t="shared" ref="G18:G23" si="2">SUM(B18:E18)</f>
        <v>102207.48</v>
      </c>
      <c r="H18" s="81">
        <v>44849</v>
      </c>
      <c r="I18" s="63"/>
    </row>
    <row r="19" spans="2:9" s="555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572" t="s">
        <v>2638</v>
      </c>
      <c r="G19" s="227">
        <f t="shared" si="2"/>
        <v>100303.48</v>
      </c>
      <c r="H19" s="81">
        <v>44880</v>
      </c>
      <c r="I19" s="63"/>
    </row>
    <row r="20" spans="2:9" s="555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572" t="s">
        <v>2638</v>
      </c>
      <c r="G20" s="227">
        <f t="shared" si="2"/>
        <v>98359.48</v>
      </c>
      <c r="H20" s="81">
        <v>44910</v>
      </c>
      <c r="I20" s="63" t="s">
        <v>2613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572" t="s">
        <v>2638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572" t="s">
        <v>2638</v>
      </c>
      <c r="G22" s="227">
        <f t="shared" si="2"/>
        <v>100108.48</v>
      </c>
      <c r="H22" s="81">
        <v>45092</v>
      </c>
      <c r="I22" s="63" t="s">
        <v>2812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572" t="s">
        <v>2638</v>
      </c>
      <c r="G23" s="227">
        <f t="shared" si="2"/>
        <v>104108.48</v>
      </c>
      <c r="H23" s="81">
        <v>45127</v>
      </c>
      <c r="I23" s="63" t="s">
        <v>2817</v>
      </c>
    </row>
    <row r="24" spans="2:9" s="735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572" t="s">
        <v>2638</v>
      </c>
      <c r="G24" s="227">
        <f t="shared" ref="G24" si="3">SUM(B24:E24)</f>
        <v>106108.48</v>
      </c>
      <c r="H24" s="81">
        <v>45168</v>
      </c>
      <c r="I24" s="63" t="s">
        <v>2888</v>
      </c>
    </row>
    <row r="25" spans="2:9" s="687" customFormat="1" ht="14.25">
      <c r="B25" s="227"/>
      <c r="C25" s="63"/>
      <c r="D25" s="63"/>
      <c r="E25" s="63"/>
      <c r="F25" s="572"/>
      <c r="G25" s="63"/>
      <c r="H25" s="63"/>
      <c r="I25" s="63"/>
    </row>
    <row r="26" spans="2:9">
      <c r="B26" s="63"/>
      <c r="C26" s="63"/>
      <c r="D26" s="63"/>
      <c r="E26" s="63"/>
      <c r="F26" s="627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672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2761</v>
      </c>
      <c r="C2" s="671" t="s">
        <v>2762</v>
      </c>
      <c r="D2" t="s">
        <v>461</v>
      </c>
    </row>
    <row r="3" spans="1:4">
      <c r="A3" s="672">
        <v>45082</v>
      </c>
      <c r="C3">
        <v>1000</v>
      </c>
      <c r="D3" t="s">
        <v>2760</v>
      </c>
    </row>
    <row r="4" spans="1:4">
      <c r="B4">
        <v>5000</v>
      </c>
      <c r="C4">
        <f>C3+B4</f>
        <v>6000</v>
      </c>
      <c r="D4" t="s">
        <v>2758</v>
      </c>
    </row>
    <row r="5" spans="1:4">
      <c r="B5">
        <v>5000</v>
      </c>
      <c r="C5" s="670">
        <f>C4+B5</f>
        <v>11000</v>
      </c>
      <c r="D5" s="670" t="s">
        <v>2758</v>
      </c>
    </row>
    <row r="6" spans="1:4">
      <c r="B6">
        <v>2000</v>
      </c>
      <c r="C6" s="670">
        <f>C5+B6</f>
        <v>13000</v>
      </c>
      <c r="D6" t="s">
        <v>2757</v>
      </c>
    </row>
    <row r="7" spans="1:4">
      <c r="B7">
        <v>2000</v>
      </c>
      <c r="C7" s="670">
        <f>C6+B7</f>
        <v>15000</v>
      </c>
      <c r="D7" s="670" t="s">
        <v>2757</v>
      </c>
    </row>
    <row r="8" spans="1:4">
      <c r="A8" s="672">
        <v>45098</v>
      </c>
      <c r="B8">
        <v>-12700</v>
      </c>
      <c r="D8" t="s">
        <v>2759</v>
      </c>
    </row>
    <row r="9" spans="1:4">
      <c r="C9" s="670">
        <f>C7+B8</f>
        <v>2300</v>
      </c>
      <c r="D9" t="s">
        <v>2763</v>
      </c>
    </row>
    <row r="10" spans="1:4">
      <c r="A10" s="672">
        <v>45106</v>
      </c>
      <c r="B10">
        <v>-1410</v>
      </c>
      <c r="C10" s="670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8" t="s">
        <v>124</v>
      </c>
      <c r="C1" s="848"/>
      <c r="D1" s="852" t="s">
        <v>292</v>
      </c>
      <c r="E1" s="852"/>
      <c r="F1" s="852" t="s">
        <v>341</v>
      </c>
      <c r="G1" s="852"/>
      <c r="H1" s="849" t="s">
        <v>127</v>
      </c>
      <c r="I1" s="849"/>
      <c r="J1" s="850" t="s">
        <v>292</v>
      </c>
      <c r="K1" s="850"/>
      <c r="L1" s="851" t="s">
        <v>520</v>
      </c>
      <c r="M1" s="851"/>
      <c r="N1" s="849" t="s">
        <v>146</v>
      </c>
      <c r="O1" s="849"/>
      <c r="P1" s="850" t="s">
        <v>293</v>
      </c>
      <c r="Q1" s="850"/>
      <c r="R1" s="851" t="s">
        <v>522</v>
      </c>
      <c r="S1" s="851"/>
      <c r="T1" s="837" t="s">
        <v>193</v>
      </c>
      <c r="U1" s="837"/>
      <c r="V1" s="850" t="s">
        <v>292</v>
      </c>
      <c r="W1" s="850"/>
      <c r="X1" s="839" t="s">
        <v>524</v>
      </c>
      <c r="Y1" s="839"/>
      <c r="Z1" s="837" t="s">
        <v>241</v>
      </c>
      <c r="AA1" s="837"/>
      <c r="AB1" s="838" t="s">
        <v>292</v>
      </c>
      <c r="AC1" s="838"/>
      <c r="AD1" s="847" t="s">
        <v>524</v>
      </c>
      <c r="AE1" s="847"/>
      <c r="AF1" s="837" t="s">
        <v>367</v>
      </c>
      <c r="AG1" s="837"/>
      <c r="AH1" s="838" t="s">
        <v>292</v>
      </c>
      <c r="AI1" s="838"/>
      <c r="AJ1" s="839" t="s">
        <v>530</v>
      </c>
      <c r="AK1" s="839"/>
      <c r="AL1" s="837" t="s">
        <v>389</v>
      </c>
      <c r="AM1" s="837"/>
      <c r="AN1" s="845" t="s">
        <v>292</v>
      </c>
      <c r="AO1" s="845"/>
      <c r="AP1" s="843" t="s">
        <v>531</v>
      </c>
      <c r="AQ1" s="843"/>
      <c r="AR1" s="837" t="s">
        <v>416</v>
      </c>
      <c r="AS1" s="837"/>
      <c r="AV1" s="843" t="s">
        <v>285</v>
      </c>
      <c r="AW1" s="843"/>
      <c r="AX1" s="846" t="s">
        <v>998</v>
      </c>
      <c r="AY1" s="846"/>
      <c r="AZ1" s="846"/>
      <c r="BA1" s="208"/>
      <c r="BB1" s="841">
        <v>42942</v>
      </c>
      <c r="BC1" s="842"/>
      <c r="BD1" s="84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40" t="s">
        <v>261</v>
      </c>
      <c r="U4" s="840"/>
      <c r="X4" s="119" t="s">
        <v>233</v>
      </c>
      <c r="Y4" s="123">
        <f>Y3-Y6</f>
        <v>4.9669099999591708</v>
      </c>
      <c r="Z4" s="840" t="s">
        <v>262</v>
      </c>
      <c r="AA4" s="840"/>
      <c r="AD4" s="154" t="s">
        <v>233</v>
      </c>
      <c r="AE4" s="154">
        <f>AE3-AE5</f>
        <v>-52.526899999851594</v>
      </c>
      <c r="AF4" s="840" t="s">
        <v>262</v>
      </c>
      <c r="AG4" s="840"/>
      <c r="AH4" s="143"/>
      <c r="AI4" s="143"/>
      <c r="AJ4" s="154" t="s">
        <v>233</v>
      </c>
      <c r="AK4" s="154">
        <f>AK3-AK5</f>
        <v>94.988909999992757</v>
      </c>
      <c r="AL4" s="840" t="s">
        <v>262</v>
      </c>
      <c r="AM4" s="840"/>
      <c r="AP4" s="170" t="s">
        <v>233</v>
      </c>
      <c r="AQ4" s="174">
        <f>AQ3-AQ5</f>
        <v>33.841989999942598</v>
      </c>
      <c r="AR4" s="840" t="s">
        <v>262</v>
      </c>
      <c r="AS4" s="840"/>
      <c r="AX4" s="840" t="s">
        <v>564</v>
      </c>
      <c r="AY4" s="840"/>
      <c r="BB4" s="840" t="s">
        <v>567</v>
      </c>
      <c r="BC4" s="84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40"/>
      <c r="U5" s="840"/>
      <c r="V5" s="3" t="s">
        <v>258</v>
      </c>
      <c r="W5">
        <v>2050</v>
      </c>
      <c r="X5" s="82"/>
      <c r="Z5" s="840"/>
      <c r="AA5" s="84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40"/>
      <c r="AG5" s="840"/>
      <c r="AH5" s="143"/>
      <c r="AI5" s="143"/>
      <c r="AJ5" s="154" t="s">
        <v>352</v>
      </c>
      <c r="AK5" s="162">
        <f>SUM(AK11:AK59)</f>
        <v>30858.011000000002</v>
      </c>
      <c r="AL5" s="840"/>
      <c r="AM5" s="84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40"/>
      <c r="AS5" s="840"/>
      <c r="AX5" s="840"/>
      <c r="AY5" s="840"/>
      <c r="BB5" s="840"/>
      <c r="BC5" s="840"/>
      <c r="BD5" s="844" t="s">
        <v>999</v>
      </c>
      <c r="BE5" s="844"/>
      <c r="BF5" s="844"/>
      <c r="BG5" s="844"/>
      <c r="BH5" s="844"/>
      <c r="BI5" s="844"/>
      <c r="BJ5" s="844"/>
      <c r="BK5" s="84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3" t="s">
        <v>264</v>
      </c>
      <c r="W23" s="85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5"/>
      <c r="W24" s="85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2483</v>
      </c>
      <c r="E3" s="256"/>
      <c r="F3" s="256"/>
      <c r="G3" s="857" t="s">
        <v>2568</v>
      </c>
      <c r="H3" s="858"/>
      <c r="I3" s="477"/>
      <c r="J3" s="857" t="s">
        <v>2569</v>
      </c>
      <c r="K3" s="858"/>
      <c r="L3" s="299"/>
      <c r="M3" s="857">
        <v>43739</v>
      </c>
      <c r="N3" s="858"/>
      <c r="O3" s="857">
        <v>42401</v>
      </c>
      <c r="P3" s="858"/>
    </row>
    <row r="4" spans="2:16">
      <c r="B4" s="63" t="s">
        <v>322</v>
      </c>
      <c r="C4" s="71" t="s">
        <v>2489</v>
      </c>
      <c r="D4" s="63" t="s">
        <v>1037</v>
      </c>
      <c r="E4" s="63" t="s">
        <v>309</v>
      </c>
      <c r="F4" s="63" t="s">
        <v>1183</v>
      </c>
      <c r="G4" s="481"/>
      <c r="H4" s="533">
        <f>K4</f>
        <v>20000</v>
      </c>
      <c r="I4" s="227"/>
      <c r="J4" s="481"/>
      <c r="K4" s="485">
        <f>N4</f>
        <v>20000</v>
      </c>
      <c r="L4" s="227"/>
      <c r="M4" s="481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2489</v>
      </c>
      <c r="D5" s="71" t="s">
        <v>1037</v>
      </c>
      <c r="E5" s="63" t="s">
        <v>2490</v>
      </c>
      <c r="F5" s="63" t="s">
        <v>1183</v>
      </c>
      <c r="G5" s="481"/>
      <c r="H5" s="227">
        <f>300*6</f>
        <v>1800</v>
      </c>
      <c r="I5" s="227"/>
      <c r="J5" s="481"/>
      <c r="K5" s="485">
        <f>N5</f>
        <v>1200</v>
      </c>
      <c r="L5" s="227"/>
      <c r="M5" s="481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2489</v>
      </c>
      <c r="D6" s="71" t="s">
        <v>1044</v>
      </c>
      <c r="E6" s="63" t="s">
        <v>2493</v>
      </c>
      <c r="F6" s="63" t="s">
        <v>1183</v>
      </c>
      <c r="G6" s="481" t="s">
        <v>2596</v>
      </c>
      <c r="H6" s="227">
        <v>32000</v>
      </c>
      <c r="I6" s="227"/>
      <c r="J6" s="481"/>
      <c r="K6" s="227">
        <v>0</v>
      </c>
      <c r="L6" s="227"/>
      <c r="M6" s="481"/>
      <c r="N6" s="227">
        <v>0</v>
      </c>
      <c r="O6" s="63"/>
      <c r="P6" s="63"/>
    </row>
    <row r="7" spans="2:16" s="474" customFormat="1">
      <c r="B7" s="63" t="s">
        <v>315</v>
      </c>
      <c r="C7" s="71" t="s">
        <v>315</v>
      </c>
      <c r="D7" s="71" t="s">
        <v>1044</v>
      </c>
      <c r="E7" s="63" t="s">
        <v>2492</v>
      </c>
      <c r="F7" s="63" t="s">
        <v>1183</v>
      </c>
      <c r="G7" s="481"/>
      <c r="H7" s="227" t="s">
        <v>2595</v>
      </c>
      <c r="I7" s="227"/>
      <c r="J7" s="481"/>
      <c r="K7" s="227">
        <v>564</v>
      </c>
      <c r="L7" s="227"/>
      <c r="M7" s="481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2535</v>
      </c>
      <c r="F8" s="63" t="s">
        <v>1183</v>
      </c>
      <c r="G8" s="481"/>
      <c r="H8" s="227">
        <v>1500</v>
      </c>
      <c r="I8" s="227"/>
      <c r="J8" s="481"/>
      <c r="K8" s="227">
        <v>1642</v>
      </c>
      <c r="L8" s="227"/>
      <c r="M8" s="481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2494</v>
      </c>
      <c r="F9" s="63" t="s">
        <v>327</v>
      </c>
      <c r="G9" s="481"/>
      <c r="H9" s="227">
        <v>1500</v>
      </c>
      <c r="I9" s="227"/>
      <c r="J9" s="481"/>
      <c r="K9" s="227">
        <v>2031</v>
      </c>
      <c r="L9" s="227"/>
      <c r="M9" s="481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2495</v>
      </c>
      <c r="F10" s="63" t="s">
        <v>1183</v>
      </c>
      <c r="G10" s="481"/>
      <c r="H10" s="227">
        <f>14300+2000</f>
        <v>16300</v>
      </c>
      <c r="I10" s="227"/>
      <c r="J10" s="481"/>
      <c r="K10" s="227">
        <v>57781</v>
      </c>
      <c r="L10" s="227"/>
      <c r="M10" s="481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2474</v>
      </c>
      <c r="F11" s="63" t="s">
        <v>2478</v>
      </c>
      <c r="G11" s="481"/>
      <c r="H11" s="227" t="s">
        <v>2570</v>
      </c>
      <c r="I11" s="227"/>
      <c r="J11" s="481"/>
      <c r="K11" s="227">
        <v>-46000</v>
      </c>
      <c r="L11" s="227"/>
      <c r="M11" s="481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481"/>
      <c r="H12" s="227">
        <v>0</v>
      </c>
      <c r="I12" s="227"/>
      <c r="J12" s="481"/>
      <c r="K12" s="483">
        <f>N12</f>
        <v>20000</v>
      </c>
      <c r="L12" s="227"/>
      <c r="M12" s="481"/>
      <c r="N12" s="227">
        <v>20000</v>
      </c>
      <c r="O12" s="63"/>
      <c r="P12" s="63"/>
    </row>
    <row r="13" spans="2:16" s="512" customFormat="1">
      <c r="B13" s="63" t="s">
        <v>315</v>
      </c>
      <c r="C13" s="71" t="s">
        <v>315</v>
      </c>
      <c r="D13" s="71" t="s">
        <v>1044</v>
      </c>
      <c r="E13" s="63" t="s">
        <v>2534</v>
      </c>
      <c r="F13" s="63" t="s">
        <v>1183</v>
      </c>
      <c r="G13" s="481"/>
      <c r="H13" s="227">
        <v>0</v>
      </c>
      <c r="I13" s="227"/>
      <c r="J13" s="481"/>
      <c r="K13" s="483"/>
      <c r="L13" s="227"/>
      <c r="M13" s="481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2567</v>
      </c>
      <c r="E14" s="63" t="s">
        <v>843</v>
      </c>
      <c r="F14" s="63" t="s">
        <v>1183</v>
      </c>
      <c r="G14" s="481"/>
      <c r="H14" s="533">
        <v>2500</v>
      </c>
      <c r="I14" s="227"/>
      <c r="J14" s="481"/>
      <c r="K14" s="485">
        <f>N14</f>
        <v>2500</v>
      </c>
      <c r="L14" s="227"/>
      <c r="M14" s="481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2567</v>
      </c>
      <c r="E15" s="63" t="s">
        <v>863</v>
      </c>
      <c r="F15" s="63" t="s">
        <v>1183</v>
      </c>
      <c r="G15" s="481"/>
      <c r="H15" s="533">
        <v>5000</v>
      </c>
      <c r="I15" s="227"/>
      <c r="J15" s="481"/>
      <c r="K15" s="485">
        <f>N15</f>
        <v>5000</v>
      </c>
      <c r="L15" s="227"/>
      <c r="M15" s="481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2567</v>
      </c>
      <c r="E16" s="63" t="s">
        <v>871</v>
      </c>
      <c r="F16" s="71" t="s">
        <v>1183</v>
      </c>
      <c r="G16" s="481"/>
      <c r="H16" s="227">
        <v>13400</v>
      </c>
      <c r="I16" s="227"/>
      <c r="J16" s="481"/>
      <c r="K16" s="227">
        <v>1300</v>
      </c>
      <c r="L16" s="227"/>
      <c r="M16" s="481"/>
      <c r="N16" s="227">
        <v>900</v>
      </c>
      <c r="O16" s="63"/>
      <c r="P16" s="63"/>
    </row>
    <row r="17" spans="2:16" s="475" customFormat="1">
      <c r="B17" s="63" t="s">
        <v>322</v>
      </c>
      <c r="C17" s="71" t="s">
        <v>315</v>
      </c>
      <c r="D17" s="71" t="s">
        <v>2567</v>
      </c>
      <c r="E17" s="63" t="s">
        <v>2464</v>
      </c>
      <c r="F17" s="71" t="s">
        <v>1183</v>
      </c>
      <c r="G17" s="481"/>
      <c r="H17" s="533">
        <v>5000</v>
      </c>
      <c r="I17" s="227"/>
      <c r="J17" s="481"/>
      <c r="K17" s="485">
        <f>N17</f>
        <v>5000</v>
      </c>
      <c r="L17" s="227"/>
      <c r="M17" s="481"/>
      <c r="N17" s="227">
        <v>5000</v>
      </c>
      <c r="O17" s="63"/>
      <c r="P17" s="63"/>
    </row>
    <row r="18" spans="2:16" ht="13.15" customHeight="1">
      <c r="B18" s="63"/>
      <c r="C18" s="863" t="s">
        <v>2498</v>
      </c>
      <c r="D18" s="71" t="s">
        <v>2567</v>
      </c>
      <c r="E18" s="63" t="s">
        <v>2485</v>
      </c>
      <c r="F18" s="63" t="s">
        <v>1183</v>
      </c>
      <c r="G18" s="481"/>
      <c r="H18" s="533">
        <f>N18</f>
        <v>90000</v>
      </c>
      <c r="I18" s="227"/>
      <c r="J18" s="481"/>
      <c r="K18" s="485">
        <f>N18</f>
        <v>90000</v>
      </c>
      <c r="L18" s="227"/>
      <c r="M18" s="481"/>
      <c r="N18" s="227">
        <v>90000</v>
      </c>
      <c r="O18" s="63"/>
      <c r="P18" s="227">
        <v>90000</v>
      </c>
    </row>
    <row r="19" spans="2:16">
      <c r="B19" s="63"/>
      <c r="C19" s="864"/>
      <c r="D19" s="71" t="s">
        <v>2567</v>
      </c>
      <c r="E19" s="63" t="s">
        <v>2487</v>
      </c>
      <c r="F19" s="63" t="s">
        <v>1183</v>
      </c>
      <c r="G19" s="481"/>
      <c r="H19" s="227">
        <f>N19+169000</f>
        <v>439000</v>
      </c>
      <c r="I19" s="227"/>
      <c r="J19" s="481"/>
      <c r="K19" s="227">
        <f>N19+169000*40%</f>
        <v>337600</v>
      </c>
      <c r="L19" s="227"/>
      <c r="M19" s="481"/>
      <c r="N19" s="227">
        <v>270000</v>
      </c>
      <c r="O19" s="63"/>
      <c r="P19" s="63"/>
    </row>
    <row r="20" spans="2:16">
      <c r="B20" s="63" t="s">
        <v>315</v>
      </c>
      <c r="C20" s="864"/>
      <c r="D20" s="71" t="s">
        <v>2567</v>
      </c>
      <c r="E20" s="63" t="s">
        <v>2486</v>
      </c>
      <c r="F20" s="63" t="s">
        <v>327</v>
      </c>
      <c r="G20" s="481">
        <f>750000-415000</f>
        <v>335000</v>
      </c>
      <c r="H20" s="227"/>
      <c r="I20" s="227"/>
      <c r="J20" s="486">
        <f>M20</f>
        <v>600000</v>
      </c>
      <c r="K20" s="227"/>
      <c r="L20" s="227"/>
      <c r="M20" s="482">
        <v>600000</v>
      </c>
      <c r="N20" s="227"/>
      <c r="O20" s="482">
        <f>600000-154000</f>
        <v>446000</v>
      </c>
      <c r="P20" s="63"/>
    </row>
    <row r="21" spans="2:16">
      <c r="B21" s="63" t="s">
        <v>315</v>
      </c>
      <c r="C21" s="864"/>
      <c r="D21" s="71" t="s">
        <v>2567</v>
      </c>
      <c r="E21" s="63" t="s">
        <v>2484</v>
      </c>
      <c r="F21" s="63" t="s">
        <v>1183</v>
      </c>
      <c r="G21" s="532">
        <f>200000</f>
        <v>200000</v>
      </c>
      <c r="H21" s="227"/>
      <c r="I21" s="227"/>
      <c r="J21" s="486">
        <f>M21</f>
        <v>200000</v>
      </c>
      <c r="K21" s="227"/>
      <c r="L21" s="227"/>
      <c r="M21" s="482">
        <v>200000</v>
      </c>
      <c r="N21" s="227"/>
      <c r="O21" s="227">
        <v>105000</v>
      </c>
      <c r="P21" s="63"/>
    </row>
    <row r="22" spans="2:16">
      <c r="B22" s="63" t="s">
        <v>315</v>
      </c>
      <c r="C22" s="864"/>
      <c r="D22" s="71" t="s">
        <v>1038</v>
      </c>
      <c r="E22" s="63" t="s">
        <v>1185</v>
      </c>
      <c r="F22" s="63" t="s">
        <v>1184</v>
      </c>
      <c r="G22" s="482">
        <f>1000+15000+18000</f>
        <v>34000</v>
      </c>
      <c r="H22" s="227"/>
      <c r="I22" s="227"/>
      <c r="J22" s="482">
        <f>37303+14272+15932</f>
        <v>67507</v>
      </c>
      <c r="K22" s="227"/>
      <c r="L22" s="227"/>
      <c r="M22" s="482">
        <f>(35+13+14)*1000</f>
        <v>62000</v>
      </c>
      <c r="N22" s="227"/>
      <c r="O22" s="575">
        <v>5000</v>
      </c>
      <c r="P22" s="63"/>
    </row>
    <row r="23" spans="2:16">
      <c r="B23" s="63" t="s">
        <v>315</v>
      </c>
      <c r="C23" s="864"/>
      <c r="D23" s="71" t="s">
        <v>1044</v>
      </c>
      <c r="E23" s="63" t="s">
        <v>1036</v>
      </c>
      <c r="F23" s="63" t="s">
        <v>1183</v>
      </c>
      <c r="G23" s="531">
        <f>205000+68000</f>
        <v>273000</v>
      </c>
      <c r="H23" s="227"/>
      <c r="I23" s="227"/>
      <c r="J23" s="481">
        <f>57247+54415</f>
        <v>111662</v>
      </c>
      <c r="K23" s="227"/>
      <c r="L23" s="227"/>
      <c r="M23" s="481">
        <f>51797+50452</f>
        <v>102249</v>
      </c>
      <c r="N23" s="227"/>
      <c r="O23" s="482">
        <v>78000</v>
      </c>
      <c r="P23" s="63"/>
    </row>
    <row r="24" spans="2:16">
      <c r="B24" s="63" t="s">
        <v>315</v>
      </c>
      <c r="C24" s="864"/>
      <c r="D24" s="71" t="s">
        <v>1044</v>
      </c>
      <c r="E24" s="63" t="s">
        <v>2467</v>
      </c>
      <c r="F24" s="63" t="s">
        <v>1183</v>
      </c>
      <c r="G24" s="484">
        <f>(113000+20000)+8000</f>
        <v>141000</v>
      </c>
      <c r="H24" s="227"/>
      <c r="I24" s="227"/>
      <c r="J24" s="482">
        <v>24201</v>
      </c>
      <c r="K24" s="227"/>
      <c r="L24" s="227"/>
      <c r="M24" s="482">
        <v>17000</v>
      </c>
      <c r="N24" s="227"/>
      <c r="O24" s="575">
        <v>142000</v>
      </c>
      <c r="P24" s="63"/>
    </row>
    <row r="25" spans="2:16">
      <c r="B25" s="63" t="s">
        <v>322</v>
      </c>
      <c r="C25" s="864"/>
      <c r="D25" s="63" t="s">
        <v>1182</v>
      </c>
      <c r="E25" s="63" t="s">
        <v>1181</v>
      </c>
      <c r="F25" s="63" t="s">
        <v>1184</v>
      </c>
      <c r="G25" s="532">
        <v>5000</v>
      </c>
      <c r="H25" s="227"/>
      <c r="I25" s="227"/>
      <c r="J25" s="534">
        <v>5000</v>
      </c>
      <c r="K25" s="227"/>
      <c r="L25" s="227"/>
      <c r="M25" s="481">
        <v>5000</v>
      </c>
      <c r="N25" s="227"/>
      <c r="O25" s="63"/>
      <c r="P25" s="63"/>
    </row>
    <row r="26" spans="2:16" s="479" customFormat="1">
      <c r="B26" s="63" t="s">
        <v>2465</v>
      </c>
      <c r="C26" s="865"/>
      <c r="D26" s="71" t="s">
        <v>2567</v>
      </c>
      <c r="E26" s="63" t="s">
        <v>2497</v>
      </c>
      <c r="F26" s="63" t="s">
        <v>327</v>
      </c>
      <c r="G26" s="482">
        <f>15000*3</f>
        <v>45000</v>
      </c>
      <c r="H26" s="227"/>
      <c r="I26" s="227"/>
      <c r="J26" s="486">
        <v>0</v>
      </c>
      <c r="K26" s="227"/>
      <c r="L26" s="227"/>
      <c r="M26" s="482">
        <v>0</v>
      </c>
      <c r="N26" s="227"/>
      <c r="O26" s="63"/>
      <c r="P26" s="63"/>
    </row>
    <row r="27" spans="2:16">
      <c r="B27" s="63" t="s">
        <v>2465</v>
      </c>
      <c r="C27" s="71" t="s">
        <v>314</v>
      </c>
      <c r="D27" s="71" t="s">
        <v>2567</v>
      </c>
      <c r="E27" s="63" t="s">
        <v>2488</v>
      </c>
      <c r="F27" s="63" t="s">
        <v>1183</v>
      </c>
      <c r="G27" s="482" t="s">
        <v>2466</v>
      </c>
      <c r="H27" s="227"/>
      <c r="I27" s="227"/>
      <c r="J27" s="486">
        <f>M27</f>
        <v>20000</v>
      </c>
      <c r="K27" s="227"/>
      <c r="L27" s="227"/>
      <c r="M27" s="482">
        <v>20000</v>
      </c>
      <c r="N27" s="227"/>
      <c r="O27" s="482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2480</v>
      </c>
      <c r="F28" s="63" t="s">
        <v>1184</v>
      </c>
      <c r="G28" s="482">
        <v>1000</v>
      </c>
      <c r="H28" s="227" t="s">
        <v>2469</v>
      </c>
      <c r="I28" s="227"/>
      <c r="J28" s="482">
        <v>92574</v>
      </c>
      <c r="K28" s="227"/>
      <c r="L28" s="227"/>
      <c r="M28" s="482">
        <v>102000</v>
      </c>
      <c r="N28" s="227"/>
      <c r="O28" s="575">
        <v>55000</v>
      </c>
      <c r="P28" s="63"/>
    </row>
    <row r="29" spans="2:16">
      <c r="B29" s="63" t="s">
        <v>322</v>
      </c>
      <c r="C29" s="71" t="s">
        <v>335</v>
      </c>
      <c r="D29" s="71" t="s">
        <v>2567</v>
      </c>
      <c r="E29" s="63" t="s">
        <v>2476</v>
      </c>
      <c r="F29" s="63" t="s">
        <v>1183</v>
      </c>
      <c r="G29" s="482">
        <v>40000</v>
      </c>
      <c r="H29" s="227"/>
      <c r="I29" s="227"/>
      <c r="J29" s="482">
        <v>27907</v>
      </c>
      <c r="K29" s="227"/>
      <c r="L29" s="227"/>
      <c r="M29" s="482">
        <v>6000</v>
      </c>
      <c r="N29" s="227"/>
      <c r="O29" s="575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2482</v>
      </c>
      <c r="F30" s="63" t="s">
        <v>1183</v>
      </c>
      <c r="G30" s="482">
        <v>2000</v>
      </c>
      <c r="H30" s="227"/>
      <c r="I30" s="227"/>
      <c r="J30" s="482">
        <v>28176</v>
      </c>
      <c r="K30" s="227"/>
      <c r="L30" s="227"/>
      <c r="M30" s="482">
        <v>20000</v>
      </c>
      <c r="N30" s="227"/>
      <c r="O30" s="63"/>
      <c r="P30" s="63"/>
    </row>
    <row r="31" spans="2:16" s="475" customFormat="1">
      <c r="B31" s="63" t="s">
        <v>315</v>
      </c>
      <c r="C31" s="71" t="s">
        <v>315</v>
      </c>
      <c r="D31" s="71" t="s">
        <v>1044</v>
      </c>
      <c r="E31" s="63" t="s">
        <v>2481</v>
      </c>
      <c r="F31" s="63" t="s">
        <v>1183</v>
      </c>
      <c r="G31" s="482">
        <f>176000</f>
        <v>176000</v>
      </c>
      <c r="H31" s="227"/>
      <c r="I31" s="227"/>
      <c r="J31" s="486">
        <v>0</v>
      </c>
      <c r="K31" s="227"/>
      <c r="L31" s="227"/>
      <c r="M31" s="482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499" t="s">
        <v>1866</v>
      </c>
      <c r="F32" s="63" t="s">
        <v>1184</v>
      </c>
      <c r="G32" s="484">
        <v>9000</v>
      </c>
      <c r="H32" s="227"/>
      <c r="I32" s="227"/>
      <c r="J32" s="482">
        <v>20000</v>
      </c>
      <c r="K32" s="227"/>
      <c r="L32" s="227"/>
      <c r="M32" s="482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6" t="s">
        <v>1182</v>
      </c>
      <c r="E33" s="499" t="s">
        <v>2536</v>
      </c>
      <c r="F33" s="183" t="s">
        <v>2516</v>
      </c>
      <c r="G33" s="484">
        <v>598000</v>
      </c>
      <c r="H33" s="227"/>
      <c r="I33" s="227"/>
      <c r="J33" s="482">
        <f>27564</f>
        <v>27564</v>
      </c>
      <c r="K33" s="227"/>
      <c r="L33" s="227"/>
      <c r="M33" s="482">
        <v>20000</v>
      </c>
      <c r="N33" s="227"/>
      <c r="O33" s="575">
        <v>20000</v>
      </c>
      <c r="P33" s="63"/>
    </row>
    <row r="34" spans="2:16" s="512" customFormat="1">
      <c r="B34" s="63"/>
      <c r="C34" s="71"/>
      <c r="D34" s="867"/>
      <c r="E34" s="499" t="s">
        <v>2537</v>
      </c>
      <c r="F34" s="183" t="s">
        <v>1183</v>
      </c>
      <c r="G34" s="482">
        <f>-140000</f>
        <v>-140000</v>
      </c>
      <c r="H34" s="227"/>
      <c r="I34" s="227"/>
      <c r="J34" s="482"/>
      <c r="K34" s="227"/>
      <c r="L34" s="227"/>
      <c r="M34" s="482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2474</v>
      </c>
      <c r="F35" s="71" t="s">
        <v>2478</v>
      </c>
      <c r="G35" s="482" t="s">
        <v>2475</v>
      </c>
      <c r="H35" s="227"/>
      <c r="I35" s="227"/>
      <c r="J35" s="482">
        <v>-30000</v>
      </c>
      <c r="K35" s="227"/>
      <c r="L35" s="227"/>
      <c r="M35" s="482">
        <v>-40000</v>
      </c>
      <c r="N35" s="227"/>
      <c r="O35" s="482">
        <v>-30000</v>
      </c>
      <c r="P35" s="63"/>
    </row>
    <row r="36" spans="2:16" s="498" customFormat="1">
      <c r="B36" s="63"/>
      <c r="C36" s="71"/>
      <c r="D36" s="71" t="s">
        <v>1037</v>
      </c>
      <c r="E36" s="499" t="s">
        <v>2519</v>
      </c>
      <c r="F36" s="183" t="s">
        <v>1183</v>
      </c>
      <c r="G36" s="484" t="s">
        <v>2564</v>
      </c>
      <c r="H36" s="227"/>
      <c r="I36" s="227"/>
      <c r="J36" s="486">
        <v>0</v>
      </c>
      <c r="K36" s="227"/>
      <c r="L36" s="227"/>
      <c r="M36" s="482">
        <v>0</v>
      </c>
      <c r="N36" s="227"/>
      <c r="O36" s="63"/>
      <c r="P36" s="63"/>
    </row>
    <row r="37" spans="2:16" s="509" customFormat="1">
      <c r="B37" s="63" t="s">
        <v>315</v>
      </c>
      <c r="C37" s="71" t="s">
        <v>315</v>
      </c>
      <c r="D37" s="71" t="s">
        <v>1182</v>
      </c>
      <c r="E37" s="499" t="s">
        <v>2533</v>
      </c>
      <c r="F37" s="63" t="s">
        <v>1183</v>
      </c>
      <c r="G37" s="482">
        <v>16000</v>
      </c>
      <c r="H37" s="227"/>
      <c r="I37" s="227"/>
      <c r="J37" s="482"/>
      <c r="K37" s="227"/>
      <c r="L37" s="227"/>
      <c r="M37" s="482"/>
      <c r="N37" s="227"/>
      <c r="O37" s="63"/>
      <c r="P37" s="63"/>
    </row>
    <row r="38" spans="2:16" s="498" customFormat="1">
      <c r="B38" s="63"/>
      <c r="C38" s="71"/>
      <c r="D38" s="71"/>
      <c r="E38" s="63" t="s">
        <v>2517</v>
      </c>
      <c r="F38" s="71" t="s">
        <v>2478</v>
      </c>
      <c r="G38" s="482" t="s">
        <v>2518</v>
      </c>
      <c r="H38" s="227"/>
      <c r="I38" s="227"/>
      <c r="J38" s="482" t="s">
        <v>427</v>
      </c>
      <c r="K38" s="227"/>
      <c r="L38" s="227"/>
      <c r="M38" s="482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2477</v>
      </c>
      <c r="F39" s="63" t="s">
        <v>1184</v>
      </c>
      <c r="G39" s="482" t="s">
        <v>330</v>
      </c>
      <c r="H39" s="227"/>
      <c r="I39" s="227"/>
      <c r="J39" s="482" t="s">
        <v>330</v>
      </c>
      <c r="K39" s="227"/>
      <c r="L39" s="227"/>
      <c r="M39" s="482" t="s">
        <v>330</v>
      </c>
      <c r="N39" s="227"/>
      <c r="O39" s="63"/>
      <c r="P39" s="63"/>
    </row>
    <row r="40" spans="2:16">
      <c r="E40" s="207"/>
      <c r="F40" s="207" t="s">
        <v>2473</v>
      </c>
      <c r="G40" s="114">
        <f>SUM(G4:G39)</f>
        <v>1735000</v>
      </c>
      <c r="H40" s="478">
        <f>SUM(H4:H39)</f>
        <v>628000</v>
      </c>
      <c r="J40" s="114">
        <f>SUM(J4:J39)</f>
        <v>1194591</v>
      </c>
      <c r="K40" s="478">
        <f>SUM(K4:K39)</f>
        <v>498618</v>
      </c>
      <c r="M40" s="114">
        <f>SUM(M4:M39)</f>
        <v>1114249</v>
      </c>
      <c r="N40" s="478">
        <f>SUM(N4:N39)</f>
        <v>493000</v>
      </c>
      <c r="O40" s="114">
        <f>SUM(O4:O39)</f>
        <v>1006000</v>
      </c>
      <c r="P40" s="478">
        <f>SUM(P4:P39)</f>
        <v>231020</v>
      </c>
    </row>
    <row r="41" spans="2:16" s="475" customFormat="1">
      <c r="E41" s="207"/>
      <c r="F41" s="207" t="s">
        <v>2520</v>
      </c>
      <c r="G41" s="114">
        <v>1735000</v>
      </c>
      <c r="H41" s="478">
        <v>628000</v>
      </c>
      <c r="I41" s="2"/>
      <c r="J41" s="114">
        <v>1194591</v>
      </c>
      <c r="K41" s="478">
        <v>498618</v>
      </c>
      <c r="L41" s="2"/>
      <c r="M41" s="114">
        <v>1114249</v>
      </c>
      <c r="N41" s="478">
        <v>493000</v>
      </c>
      <c r="O41" s="114">
        <v>1006000</v>
      </c>
      <c r="P41" s="478">
        <v>231202</v>
      </c>
    </row>
    <row r="42" spans="2:16" s="476" customFormat="1">
      <c r="E42" s="480" t="s">
        <v>2496</v>
      </c>
      <c r="F42" s="202">
        <v>1.33</v>
      </c>
      <c r="G42" s="114"/>
      <c r="H42" s="114" t="s">
        <v>2468</v>
      </c>
      <c r="I42" s="2"/>
      <c r="J42" s="114"/>
      <c r="K42" s="478"/>
      <c r="L42" s="2"/>
    </row>
    <row r="43" spans="2:16" s="476" customFormat="1">
      <c r="E43" s="207"/>
      <c r="F43" s="207" t="s">
        <v>2565</v>
      </c>
      <c r="G43" s="862">
        <f>G40/F42+H40</f>
        <v>1932511.2781954887</v>
      </c>
      <c r="H43" s="862"/>
      <c r="I43" s="2"/>
      <c r="J43" s="114"/>
      <c r="K43" s="2"/>
      <c r="L43" s="2"/>
      <c r="M43" s="114"/>
      <c r="N43" s="2"/>
    </row>
    <row r="44" spans="2:16" s="476" customFormat="1">
      <c r="E44" s="207"/>
      <c r="F44" s="207" t="s">
        <v>2566</v>
      </c>
      <c r="G44" s="861">
        <f>H40*F42+G40</f>
        <v>2570240</v>
      </c>
      <c r="H44" s="861"/>
      <c r="I44" s="2"/>
      <c r="J44" s="861">
        <f>K40*1.37+J40</f>
        <v>1877697.6600000001</v>
      </c>
      <c r="K44" s="861"/>
      <c r="L44" s="2"/>
      <c r="M44" s="861">
        <f>N40*1.37+M40</f>
        <v>1789659</v>
      </c>
      <c r="N44" s="861"/>
      <c r="O44" s="861">
        <f>P40*1.36+O40</f>
        <v>1320187.2</v>
      </c>
      <c r="P44" s="86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0" t="s">
        <v>1186</v>
      </c>
      <c r="C47" s="860"/>
      <c r="D47" s="860"/>
      <c r="E47" s="860"/>
      <c r="F47" s="860"/>
      <c r="G47" s="860"/>
      <c r="H47" s="860"/>
      <c r="I47" s="860"/>
      <c r="J47" s="860"/>
      <c r="K47" s="860"/>
      <c r="L47" s="860"/>
      <c r="M47" s="860"/>
      <c r="N47" s="860"/>
    </row>
    <row r="48" spans="2:16">
      <c r="B48" s="860" t="s">
        <v>2472</v>
      </c>
      <c r="C48" s="860"/>
      <c r="D48" s="860"/>
      <c r="E48" s="860"/>
      <c r="F48" s="860"/>
      <c r="G48" s="860"/>
      <c r="H48" s="860"/>
      <c r="I48" s="860"/>
      <c r="J48" s="860"/>
      <c r="K48" s="860"/>
      <c r="L48" s="860"/>
      <c r="M48" s="860"/>
      <c r="N48" s="860"/>
    </row>
    <row r="49" spans="2:14">
      <c r="B49" s="860" t="s">
        <v>2471</v>
      </c>
      <c r="C49" s="860"/>
      <c r="D49" s="860"/>
      <c r="E49" s="860"/>
      <c r="F49" s="860"/>
      <c r="G49" s="860"/>
      <c r="H49" s="860"/>
      <c r="I49" s="860"/>
      <c r="J49" s="860"/>
      <c r="K49" s="860"/>
      <c r="L49" s="860"/>
      <c r="M49" s="860"/>
      <c r="N49" s="860"/>
    </row>
    <row r="50" spans="2:14">
      <c r="B50" s="859" t="s">
        <v>2470</v>
      </c>
      <c r="C50" s="859"/>
      <c r="D50" s="859"/>
      <c r="E50" s="859"/>
      <c r="F50" s="859"/>
      <c r="G50" s="859"/>
      <c r="H50" s="859"/>
      <c r="I50" s="859"/>
      <c r="J50" s="859"/>
      <c r="K50" s="859"/>
      <c r="L50" s="859"/>
      <c r="M50" s="859"/>
      <c r="N50" s="859"/>
    </row>
    <row r="51" spans="2:14">
      <c r="B51" s="859"/>
      <c r="C51" s="859"/>
      <c r="D51" s="859"/>
      <c r="E51" s="859"/>
      <c r="F51" s="859"/>
      <c r="G51" s="859"/>
      <c r="H51" s="859"/>
      <c r="I51" s="859"/>
      <c r="J51" s="859"/>
      <c r="K51" s="859"/>
      <c r="L51" s="859"/>
      <c r="M51" s="859"/>
      <c r="N51" s="859"/>
    </row>
    <row r="52" spans="2:14">
      <c r="B52" s="859"/>
      <c r="C52" s="859"/>
      <c r="D52" s="859"/>
      <c r="E52" s="859"/>
      <c r="F52" s="859"/>
      <c r="G52" s="859"/>
      <c r="H52" s="859"/>
      <c r="I52" s="859"/>
      <c r="J52" s="859"/>
      <c r="K52" s="859"/>
      <c r="L52" s="859"/>
      <c r="M52" s="859"/>
      <c r="N52" s="85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510" bestFit="1" customWidth="1"/>
    <col min="3" max="3" width="11.5703125" style="52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520"/>
    </row>
    <row r="2" spans="2:10">
      <c r="B2" s="517" t="s">
        <v>461</v>
      </c>
      <c r="C2" s="521" t="s">
        <v>460</v>
      </c>
      <c r="D2" s="516" t="s">
        <v>456</v>
      </c>
      <c r="E2" s="517" t="s">
        <v>455</v>
      </c>
      <c r="F2" s="515" t="s">
        <v>457</v>
      </c>
      <c r="G2" s="518" t="s">
        <v>2539</v>
      </c>
      <c r="H2" s="518" t="s">
        <v>458</v>
      </c>
    </row>
    <row r="3" spans="2:10">
      <c r="B3" s="63"/>
      <c r="C3" s="522"/>
      <c r="D3" s="63"/>
      <c r="E3" s="90"/>
      <c r="F3" s="90"/>
      <c r="G3" s="90"/>
      <c r="H3" s="90"/>
    </row>
    <row r="4" spans="2:10">
      <c r="B4" s="63" t="s">
        <v>2548</v>
      </c>
      <c r="C4" s="522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2546</v>
      </c>
      <c r="C5" s="522">
        <v>44561</v>
      </c>
      <c r="D5" s="63" t="s">
        <v>2554</v>
      </c>
      <c r="E5" s="90">
        <v>505987.67999999993</v>
      </c>
      <c r="F5" s="63" t="s">
        <v>2554</v>
      </c>
      <c r="G5" s="90"/>
      <c r="H5" s="90"/>
      <c r="J5" s="52"/>
    </row>
    <row r="6" spans="2:10" s="514" customFormat="1">
      <c r="B6" s="63" t="s">
        <v>915</v>
      </c>
      <c r="C6" s="52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514" customFormat="1">
      <c r="B7" s="63" t="s">
        <v>915</v>
      </c>
      <c r="C7" s="52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514" customFormat="1">
      <c r="B8" s="63" t="s">
        <v>2542</v>
      </c>
      <c r="C8" s="52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514" customFormat="1">
      <c r="B9" s="63" t="s">
        <v>2542</v>
      </c>
      <c r="C9" s="52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514" customFormat="1">
      <c r="B10" s="63" t="s">
        <v>2542</v>
      </c>
      <c r="C10" s="52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514" customFormat="1">
      <c r="B11" s="63" t="s">
        <v>2542</v>
      </c>
      <c r="C11" s="52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514" customFormat="1">
      <c r="B12" s="63" t="s">
        <v>2542</v>
      </c>
      <c r="C12" s="52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513" customFormat="1">
      <c r="B13" s="63" t="s">
        <v>2542</v>
      </c>
      <c r="C13" s="52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513" customFormat="1">
      <c r="B14" s="63" t="s">
        <v>2542</v>
      </c>
      <c r="C14" s="52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513" customFormat="1">
      <c r="B15" s="63" t="s">
        <v>2542</v>
      </c>
      <c r="C15" s="52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513" customFormat="1">
      <c r="B16" s="63" t="s">
        <v>2542</v>
      </c>
      <c r="C16" s="52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508" customFormat="1">
      <c r="B17" s="63" t="s">
        <v>2542</v>
      </c>
      <c r="C17" s="52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508" customFormat="1">
      <c r="B18" s="63" t="s">
        <v>2541</v>
      </c>
      <c r="C18" s="52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508" customFormat="1">
      <c r="B19" s="63" t="s">
        <v>2538</v>
      </c>
      <c r="C19" s="52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508" customFormat="1">
      <c r="B20" s="63" t="s">
        <v>2543</v>
      </c>
      <c r="C20" s="52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2540</v>
      </c>
      <c r="C21" s="522">
        <v>43710</v>
      </c>
      <c r="D21" s="525">
        <v>1740000</v>
      </c>
      <c r="E21" s="90">
        <f t="shared" si="0"/>
        <v>1090821.68</v>
      </c>
      <c r="F21" s="511">
        <v>1740000</v>
      </c>
      <c r="G21" s="90">
        <v>46524</v>
      </c>
      <c r="H21" s="90">
        <f>F21/G21</f>
        <v>37.400051586278053</v>
      </c>
    </row>
    <row r="22" spans="2:11" s="508" customFormat="1">
      <c r="B22" s="183"/>
      <c r="C22" s="522">
        <v>43553</v>
      </c>
      <c r="D22" s="526"/>
      <c r="E22" s="90">
        <f t="shared" si="0"/>
        <v>1090821.68</v>
      </c>
      <c r="F22" s="511">
        <v>100</v>
      </c>
      <c r="G22" s="90"/>
      <c r="H22" s="90"/>
    </row>
    <row r="23" spans="2:11">
      <c r="B23" s="63" t="s">
        <v>1031</v>
      </c>
      <c r="C23" s="52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508" customFormat="1">
      <c r="B24" s="63" t="s">
        <v>2553</v>
      </c>
      <c r="C24" s="522">
        <v>43100</v>
      </c>
      <c r="D24" s="63" t="s">
        <v>2554</v>
      </c>
      <c r="E24" s="90">
        <v>705314.48</v>
      </c>
      <c r="F24" s="63" t="s">
        <v>2554</v>
      </c>
      <c r="G24" s="90"/>
      <c r="H24" s="90"/>
      <c r="K24" s="52"/>
    </row>
    <row r="25" spans="2:11">
      <c r="B25" s="63" t="s">
        <v>2551</v>
      </c>
      <c r="C25" s="522" t="s">
        <v>2532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519" customFormat="1">
      <c r="B26" s="63" t="s">
        <v>2547</v>
      </c>
      <c r="C26" s="522" t="s">
        <v>2552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52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52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52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52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52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52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52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52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2549</v>
      </c>
      <c r="C35" s="52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2550</v>
      </c>
      <c r="C36" s="52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52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519" customFormat="1">
      <c r="B38" s="63"/>
      <c r="C38" s="522"/>
      <c r="D38" s="63"/>
      <c r="E38" s="869" t="s">
        <v>2557</v>
      </c>
      <c r="F38" s="870"/>
      <c r="G38" s="90"/>
      <c r="H38" s="90"/>
    </row>
    <row r="39" spans="2:8">
      <c r="B39" s="63" t="s">
        <v>2555</v>
      </c>
      <c r="C39" s="52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2556</v>
      </c>
    </row>
    <row r="41" spans="2:8" ht="18">
      <c r="B41" s="868" t="s">
        <v>989</v>
      </c>
      <c r="C41" s="868"/>
      <c r="D41" s="868"/>
      <c r="E41" s="868"/>
      <c r="F41" s="868"/>
      <c r="G41" s="868"/>
      <c r="H41" s="86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8" t="s">
        <v>909</v>
      </c>
      <c r="C1" s="848"/>
      <c r="D1" s="847" t="s">
        <v>515</v>
      </c>
      <c r="E1" s="847"/>
      <c r="F1" s="848" t="s">
        <v>513</v>
      </c>
      <c r="G1" s="848"/>
      <c r="H1" s="871" t="s">
        <v>549</v>
      </c>
      <c r="I1" s="871"/>
      <c r="J1" s="847" t="s">
        <v>515</v>
      </c>
      <c r="K1" s="847"/>
      <c r="L1" s="848" t="s">
        <v>908</v>
      </c>
      <c r="M1" s="848"/>
      <c r="N1" s="871" t="s">
        <v>549</v>
      </c>
      <c r="O1" s="871"/>
      <c r="P1" s="847" t="s">
        <v>515</v>
      </c>
      <c r="Q1" s="847"/>
      <c r="R1" s="848" t="s">
        <v>552</v>
      </c>
      <c r="S1" s="848"/>
      <c r="T1" s="871" t="s">
        <v>549</v>
      </c>
      <c r="U1" s="871"/>
      <c r="V1" s="847" t="s">
        <v>515</v>
      </c>
      <c r="W1" s="847"/>
      <c r="X1" s="848" t="s">
        <v>907</v>
      </c>
      <c r="Y1" s="848"/>
      <c r="Z1" s="871" t="s">
        <v>549</v>
      </c>
      <c r="AA1" s="871"/>
      <c r="AB1" s="847" t="s">
        <v>515</v>
      </c>
      <c r="AC1" s="847"/>
      <c r="AD1" s="848" t="s">
        <v>591</v>
      </c>
      <c r="AE1" s="848"/>
      <c r="AF1" s="871" t="s">
        <v>549</v>
      </c>
      <c r="AG1" s="871"/>
      <c r="AH1" s="847" t="s">
        <v>515</v>
      </c>
      <c r="AI1" s="847"/>
      <c r="AJ1" s="848" t="s">
        <v>906</v>
      </c>
      <c r="AK1" s="848"/>
      <c r="AL1" s="871" t="s">
        <v>626</v>
      </c>
      <c r="AM1" s="871"/>
      <c r="AN1" s="847" t="s">
        <v>627</v>
      </c>
      <c r="AO1" s="847"/>
      <c r="AP1" s="848" t="s">
        <v>621</v>
      </c>
      <c r="AQ1" s="848"/>
      <c r="AR1" s="871" t="s">
        <v>549</v>
      </c>
      <c r="AS1" s="871"/>
      <c r="AT1" s="847" t="s">
        <v>515</v>
      </c>
      <c r="AU1" s="847"/>
      <c r="AV1" s="848" t="s">
        <v>905</v>
      </c>
      <c r="AW1" s="848"/>
      <c r="AX1" s="871" t="s">
        <v>549</v>
      </c>
      <c r="AY1" s="871"/>
      <c r="AZ1" s="847" t="s">
        <v>515</v>
      </c>
      <c r="BA1" s="847"/>
      <c r="BB1" s="848" t="s">
        <v>653</v>
      </c>
      <c r="BC1" s="848"/>
      <c r="BD1" s="871" t="s">
        <v>549</v>
      </c>
      <c r="BE1" s="871"/>
      <c r="BF1" s="847" t="s">
        <v>515</v>
      </c>
      <c r="BG1" s="847"/>
      <c r="BH1" s="848" t="s">
        <v>904</v>
      </c>
      <c r="BI1" s="848"/>
      <c r="BJ1" s="871" t="s">
        <v>549</v>
      </c>
      <c r="BK1" s="871"/>
      <c r="BL1" s="847" t="s">
        <v>515</v>
      </c>
      <c r="BM1" s="847"/>
      <c r="BN1" s="848" t="s">
        <v>921</v>
      </c>
      <c r="BO1" s="848"/>
      <c r="BP1" s="871" t="s">
        <v>549</v>
      </c>
      <c r="BQ1" s="871"/>
      <c r="BR1" s="847" t="s">
        <v>515</v>
      </c>
      <c r="BS1" s="847"/>
      <c r="BT1" s="848" t="s">
        <v>903</v>
      </c>
      <c r="BU1" s="848"/>
      <c r="BV1" s="871" t="s">
        <v>704</v>
      </c>
      <c r="BW1" s="871"/>
      <c r="BX1" s="847" t="s">
        <v>705</v>
      </c>
      <c r="BY1" s="847"/>
      <c r="BZ1" s="848" t="s">
        <v>703</v>
      </c>
      <c r="CA1" s="848"/>
      <c r="CB1" s="871" t="s">
        <v>730</v>
      </c>
      <c r="CC1" s="871"/>
      <c r="CD1" s="847" t="s">
        <v>731</v>
      </c>
      <c r="CE1" s="847"/>
      <c r="CF1" s="848" t="s">
        <v>902</v>
      </c>
      <c r="CG1" s="848"/>
      <c r="CH1" s="871" t="s">
        <v>730</v>
      </c>
      <c r="CI1" s="871"/>
      <c r="CJ1" s="847" t="s">
        <v>731</v>
      </c>
      <c r="CK1" s="847"/>
      <c r="CL1" s="848" t="s">
        <v>748</v>
      </c>
      <c r="CM1" s="848"/>
      <c r="CN1" s="871" t="s">
        <v>730</v>
      </c>
      <c r="CO1" s="871"/>
      <c r="CP1" s="847" t="s">
        <v>731</v>
      </c>
      <c r="CQ1" s="847"/>
      <c r="CR1" s="848" t="s">
        <v>901</v>
      </c>
      <c r="CS1" s="848"/>
      <c r="CT1" s="871" t="s">
        <v>730</v>
      </c>
      <c r="CU1" s="871"/>
      <c r="CV1" s="875" t="s">
        <v>731</v>
      </c>
      <c r="CW1" s="875"/>
      <c r="CX1" s="848" t="s">
        <v>769</v>
      </c>
      <c r="CY1" s="848"/>
      <c r="CZ1" s="871" t="s">
        <v>730</v>
      </c>
      <c r="DA1" s="871"/>
      <c r="DB1" s="875" t="s">
        <v>731</v>
      </c>
      <c r="DC1" s="875"/>
      <c r="DD1" s="848" t="s">
        <v>900</v>
      </c>
      <c r="DE1" s="848"/>
      <c r="DF1" s="871" t="s">
        <v>816</v>
      </c>
      <c r="DG1" s="871"/>
      <c r="DH1" s="875" t="s">
        <v>817</v>
      </c>
      <c r="DI1" s="875"/>
      <c r="DJ1" s="848" t="s">
        <v>809</v>
      </c>
      <c r="DK1" s="848"/>
      <c r="DL1" s="871" t="s">
        <v>816</v>
      </c>
      <c r="DM1" s="871"/>
      <c r="DN1" s="875" t="s">
        <v>731</v>
      </c>
      <c r="DO1" s="875"/>
      <c r="DP1" s="848" t="s">
        <v>899</v>
      </c>
      <c r="DQ1" s="848"/>
      <c r="DR1" s="871" t="s">
        <v>816</v>
      </c>
      <c r="DS1" s="871"/>
      <c r="DT1" s="875" t="s">
        <v>731</v>
      </c>
      <c r="DU1" s="875"/>
      <c r="DV1" s="848" t="s">
        <v>898</v>
      </c>
      <c r="DW1" s="848"/>
      <c r="DX1" s="871" t="s">
        <v>816</v>
      </c>
      <c r="DY1" s="871"/>
      <c r="DZ1" s="875" t="s">
        <v>731</v>
      </c>
      <c r="EA1" s="875"/>
      <c r="EB1" s="848" t="s">
        <v>897</v>
      </c>
      <c r="EC1" s="848"/>
      <c r="ED1" s="871" t="s">
        <v>816</v>
      </c>
      <c r="EE1" s="871"/>
      <c r="EF1" s="875" t="s">
        <v>731</v>
      </c>
      <c r="EG1" s="875"/>
      <c r="EH1" s="848" t="s">
        <v>883</v>
      </c>
      <c r="EI1" s="848"/>
      <c r="EJ1" s="871" t="s">
        <v>816</v>
      </c>
      <c r="EK1" s="871"/>
      <c r="EL1" s="875" t="s">
        <v>936</v>
      </c>
      <c r="EM1" s="875"/>
      <c r="EN1" s="848" t="s">
        <v>922</v>
      </c>
      <c r="EO1" s="848"/>
      <c r="EP1" s="871" t="s">
        <v>816</v>
      </c>
      <c r="EQ1" s="871"/>
      <c r="ER1" s="875" t="s">
        <v>950</v>
      </c>
      <c r="ES1" s="875"/>
      <c r="ET1" s="848" t="s">
        <v>937</v>
      </c>
      <c r="EU1" s="848"/>
      <c r="EV1" s="871" t="s">
        <v>816</v>
      </c>
      <c r="EW1" s="871"/>
      <c r="EX1" s="875" t="s">
        <v>530</v>
      </c>
      <c r="EY1" s="875"/>
      <c r="EZ1" s="848" t="s">
        <v>952</v>
      </c>
      <c r="FA1" s="848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4" t="s">
        <v>779</v>
      </c>
      <c r="CU7" s="84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4" t="s">
        <v>778</v>
      </c>
      <c r="DA8" s="84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4" t="s">
        <v>778</v>
      </c>
      <c r="DG8" s="84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4" t="s">
        <v>778</v>
      </c>
      <c r="DM8" s="84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4" t="s">
        <v>778</v>
      </c>
      <c r="DS8" s="848"/>
      <c r="DT8" s="142" t="s">
        <v>783</v>
      </c>
      <c r="DU8" s="142">
        <f>SUM(DU13:DU17)</f>
        <v>32</v>
      </c>
      <c r="DV8" s="63"/>
      <c r="DW8" s="63"/>
      <c r="DX8" s="874" t="s">
        <v>778</v>
      </c>
      <c r="DY8" s="84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4" t="s">
        <v>928</v>
      </c>
      <c r="EK8" s="84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4" t="s">
        <v>928</v>
      </c>
      <c r="EQ9" s="84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4" t="s">
        <v>928</v>
      </c>
      <c r="EW9" s="84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4" t="s">
        <v>928</v>
      </c>
      <c r="EE11" s="84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4" t="s">
        <v>778</v>
      </c>
      <c r="CU12" s="84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7" t="s">
        <v>782</v>
      </c>
      <c r="CU19" s="83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0" t="s">
        <v>858</v>
      </c>
      <c r="FA21" s="860"/>
      <c r="FC21" s="238">
        <f>FC20-FC22</f>
        <v>113457.16899999997</v>
      </c>
      <c r="FD21" s="230"/>
      <c r="FE21" s="876" t="s">
        <v>1546</v>
      </c>
      <c r="FF21" s="876"/>
      <c r="FG21" s="87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0" t="s">
        <v>871</v>
      </c>
      <c r="FA22" s="86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0" t="s">
        <v>1000</v>
      </c>
      <c r="FA23" s="86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0" t="s">
        <v>1076</v>
      </c>
      <c r="FA24" s="86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P2" zoomScaleNormal="100" workbookViewId="0">
      <selection activeCell="KX30" sqref="KX30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460" customWidth="1"/>
    <col min="255" max="255" width="9.140625" style="460" bestFit="1" customWidth="1"/>
    <col min="256" max="256" width="15.85546875" style="460" customWidth="1"/>
    <col min="257" max="257" width="8.7109375" style="460" customWidth="1"/>
    <col min="258" max="258" width="18.28515625" style="460" customWidth="1"/>
    <col min="259" max="259" width="9.7109375" style="460" bestFit="1" customWidth="1"/>
    <col min="260" max="260" width="14.5703125" style="502" customWidth="1"/>
    <col min="261" max="261" width="9.7109375" style="502" bestFit="1" customWidth="1"/>
    <col min="262" max="262" width="15.85546875" style="502" customWidth="1"/>
    <col min="263" max="263" width="10.85546875" style="502" bestFit="1" customWidth="1"/>
    <col min="264" max="264" width="18" style="502" customWidth="1"/>
    <col min="265" max="265" width="10.85546875" style="502" customWidth="1"/>
    <col min="266" max="266" width="14.5703125" style="545" customWidth="1"/>
    <col min="267" max="267" width="11.7109375" style="545" customWidth="1"/>
    <col min="268" max="268" width="16.85546875" style="545" customWidth="1"/>
    <col min="269" max="269" width="11.85546875" style="545" bestFit="1" customWidth="1"/>
    <col min="270" max="270" width="17.7109375" style="545" customWidth="1"/>
    <col min="271" max="271" width="9" style="545" customWidth="1"/>
    <col min="272" max="272" width="14.5703125" style="577" customWidth="1"/>
    <col min="273" max="273" width="11.42578125" style="577" customWidth="1"/>
    <col min="274" max="274" width="16.85546875" style="577" customWidth="1"/>
    <col min="275" max="275" width="11.85546875" style="577" bestFit="1" customWidth="1"/>
    <col min="276" max="276" width="17.7109375" style="577" customWidth="1"/>
    <col min="277" max="277" width="9.42578125" style="577" customWidth="1"/>
    <col min="278" max="278" width="17.42578125" style="614" customWidth="1"/>
    <col min="279" max="279" width="10.140625" style="614" bestFit="1" customWidth="1"/>
    <col min="280" max="280" width="16.85546875" style="614" customWidth="1"/>
    <col min="281" max="281" width="11.85546875" style="614" bestFit="1" customWidth="1"/>
    <col min="282" max="282" width="17.7109375" style="614" customWidth="1"/>
    <col min="283" max="283" width="9.140625" style="614" bestFit="1" customWidth="1"/>
    <col min="284" max="284" width="17.42578125" style="649" customWidth="1"/>
    <col min="285" max="285" width="9.140625" style="649" bestFit="1" customWidth="1"/>
    <col min="286" max="286" width="16.85546875" style="649" customWidth="1"/>
    <col min="287" max="287" width="10.28515625" style="649" customWidth="1"/>
    <col min="288" max="288" width="17.7109375" style="695" customWidth="1"/>
    <col min="289" max="289" width="8.140625" style="710" customWidth="1"/>
    <col min="290" max="290" width="15.85546875" style="700" customWidth="1"/>
    <col min="291" max="291" width="10.140625" style="700" customWidth="1"/>
    <col min="292" max="292" width="16.85546875" style="700" customWidth="1"/>
    <col min="293" max="293" width="11.85546875" style="700" customWidth="1"/>
    <col min="294" max="294" width="18.7109375" style="740" customWidth="1"/>
    <col min="295" max="295" width="8" style="740" customWidth="1"/>
    <col min="296" max="296" width="19.140625" style="740" customWidth="1"/>
    <col min="297" max="297" width="10.140625" style="740" bestFit="1" customWidth="1"/>
    <col min="298" max="298" width="16.85546875" style="740" customWidth="1"/>
    <col min="299" max="299" width="14.5703125" style="740" bestFit="1" customWidth="1"/>
    <col min="300" max="300" width="19" style="740" bestFit="1" customWidth="1"/>
    <col min="301" max="301" width="9.7109375" style="740" bestFit="1" customWidth="1"/>
    <col min="302" max="302" width="19.140625" style="789" customWidth="1"/>
    <col min="303" max="303" width="9.7109375" style="789" customWidth="1"/>
    <col min="304" max="304" width="16.85546875" style="789" customWidth="1"/>
    <col min="305" max="305" width="12" style="789" customWidth="1"/>
    <col min="306" max="306" width="18.85546875" style="789" customWidth="1"/>
    <col min="307" max="307" width="9.7109375" style="789" bestFit="1" customWidth="1"/>
    <col min="308" max="308" width="6.85546875" style="789" bestFit="1" customWidth="1"/>
    <col min="309" max="309" width="8.5703125" bestFit="1" customWidth="1"/>
  </cols>
  <sheetData>
    <row r="1" spans="1:309" s="142" customFormat="1">
      <c r="A1" s="884" t="s">
        <v>1209</v>
      </c>
      <c r="B1" s="884"/>
      <c r="C1" s="845" t="s">
        <v>292</v>
      </c>
      <c r="D1" s="845"/>
      <c r="E1" s="843" t="s">
        <v>1010</v>
      </c>
      <c r="F1" s="843"/>
      <c r="G1" s="884" t="s">
        <v>1210</v>
      </c>
      <c r="H1" s="884"/>
      <c r="I1" s="845" t="s">
        <v>292</v>
      </c>
      <c r="J1" s="845"/>
      <c r="K1" s="843" t="s">
        <v>1011</v>
      </c>
      <c r="L1" s="843"/>
      <c r="M1" s="884" t="s">
        <v>1211</v>
      </c>
      <c r="N1" s="884"/>
      <c r="O1" s="845" t="s">
        <v>292</v>
      </c>
      <c r="P1" s="845"/>
      <c r="Q1" s="843" t="s">
        <v>1057</v>
      </c>
      <c r="R1" s="843"/>
      <c r="S1" s="884" t="s">
        <v>1212</v>
      </c>
      <c r="T1" s="884"/>
      <c r="U1" s="845" t="s">
        <v>292</v>
      </c>
      <c r="V1" s="845"/>
      <c r="W1" s="843" t="s">
        <v>627</v>
      </c>
      <c r="X1" s="843"/>
      <c r="Y1" s="884" t="s">
        <v>1213</v>
      </c>
      <c r="Z1" s="884"/>
      <c r="AA1" s="845" t="s">
        <v>292</v>
      </c>
      <c r="AB1" s="845"/>
      <c r="AC1" s="843" t="s">
        <v>1084</v>
      </c>
      <c r="AD1" s="843"/>
      <c r="AE1" s="884" t="s">
        <v>1214</v>
      </c>
      <c r="AF1" s="884"/>
      <c r="AG1" s="845" t="s">
        <v>292</v>
      </c>
      <c r="AH1" s="845"/>
      <c r="AI1" s="843" t="s">
        <v>1134</v>
      </c>
      <c r="AJ1" s="843"/>
      <c r="AK1" s="884" t="s">
        <v>1217</v>
      </c>
      <c r="AL1" s="884"/>
      <c r="AM1" s="845" t="s">
        <v>1132</v>
      </c>
      <c r="AN1" s="845"/>
      <c r="AO1" s="843" t="s">
        <v>1133</v>
      </c>
      <c r="AP1" s="843"/>
      <c r="AQ1" s="884" t="s">
        <v>1218</v>
      </c>
      <c r="AR1" s="884"/>
      <c r="AS1" s="845" t="s">
        <v>1132</v>
      </c>
      <c r="AT1" s="845"/>
      <c r="AU1" s="843" t="s">
        <v>1178</v>
      </c>
      <c r="AV1" s="843"/>
      <c r="AW1" s="884" t="s">
        <v>1215</v>
      </c>
      <c r="AX1" s="884"/>
      <c r="AY1" s="843" t="s">
        <v>1241</v>
      </c>
      <c r="AZ1" s="843"/>
      <c r="BA1" s="884" t="s">
        <v>1215</v>
      </c>
      <c r="BB1" s="884"/>
      <c r="BC1" s="845" t="s">
        <v>816</v>
      </c>
      <c r="BD1" s="845"/>
      <c r="BE1" s="843" t="s">
        <v>1208</v>
      </c>
      <c r="BF1" s="843"/>
      <c r="BG1" s="884" t="s">
        <v>1216</v>
      </c>
      <c r="BH1" s="884"/>
      <c r="BI1" s="845" t="s">
        <v>816</v>
      </c>
      <c r="BJ1" s="845"/>
      <c r="BK1" s="843" t="s">
        <v>1208</v>
      </c>
      <c r="BL1" s="843"/>
      <c r="BM1" s="884" t="s">
        <v>1226</v>
      </c>
      <c r="BN1" s="884"/>
      <c r="BO1" s="845" t="s">
        <v>816</v>
      </c>
      <c r="BP1" s="845"/>
      <c r="BQ1" s="843" t="s">
        <v>1244</v>
      </c>
      <c r="BR1" s="843"/>
      <c r="BS1" s="884" t="s">
        <v>1243</v>
      </c>
      <c r="BT1" s="884"/>
      <c r="BU1" s="845" t="s">
        <v>816</v>
      </c>
      <c r="BV1" s="845"/>
      <c r="BW1" s="843" t="s">
        <v>1248</v>
      </c>
      <c r="BX1" s="843"/>
      <c r="BY1" s="884" t="s">
        <v>1270</v>
      </c>
      <c r="BZ1" s="884"/>
      <c r="CA1" s="845" t="s">
        <v>816</v>
      </c>
      <c r="CB1" s="845"/>
      <c r="CC1" s="843" t="s">
        <v>1244</v>
      </c>
      <c r="CD1" s="843"/>
      <c r="CE1" s="884" t="s">
        <v>1291</v>
      </c>
      <c r="CF1" s="884"/>
      <c r="CG1" s="845" t="s">
        <v>816</v>
      </c>
      <c r="CH1" s="845"/>
      <c r="CI1" s="843" t="s">
        <v>1248</v>
      </c>
      <c r="CJ1" s="843"/>
      <c r="CK1" s="884" t="s">
        <v>1307</v>
      </c>
      <c r="CL1" s="884"/>
      <c r="CM1" s="845" t="s">
        <v>816</v>
      </c>
      <c r="CN1" s="845"/>
      <c r="CO1" s="843" t="s">
        <v>1244</v>
      </c>
      <c r="CP1" s="843"/>
      <c r="CQ1" s="884" t="s">
        <v>1335</v>
      </c>
      <c r="CR1" s="884"/>
      <c r="CS1" s="878" t="s">
        <v>816</v>
      </c>
      <c r="CT1" s="878"/>
      <c r="CU1" s="843" t="s">
        <v>1391</v>
      </c>
      <c r="CV1" s="843"/>
      <c r="CW1" s="884" t="s">
        <v>1374</v>
      </c>
      <c r="CX1" s="884"/>
      <c r="CY1" s="878" t="s">
        <v>816</v>
      </c>
      <c r="CZ1" s="878"/>
      <c r="DA1" s="843" t="s">
        <v>1597</v>
      </c>
      <c r="DB1" s="843"/>
      <c r="DC1" s="884" t="s">
        <v>1394</v>
      </c>
      <c r="DD1" s="884"/>
      <c r="DE1" s="878" t="s">
        <v>816</v>
      </c>
      <c r="DF1" s="878"/>
      <c r="DG1" s="843" t="s">
        <v>1491</v>
      </c>
      <c r="DH1" s="843"/>
      <c r="DI1" s="884" t="s">
        <v>1594</v>
      </c>
      <c r="DJ1" s="884"/>
      <c r="DK1" s="878" t="s">
        <v>816</v>
      </c>
      <c r="DL1" s="878"/>
      <c r="DM1" s="843" t="s">
        <v>1391</v>
      </c>
      <c r="DN1" s="843"/>
      <c r="DO1" s="884" t="s">
        <v>1595</v>
      </c>
      <c r="DP1" s="884"/>
      <c r="DQ1" s="878" t="s">
        <v>816</v>
      </c>
      <c r="DR1" s="878"/>
      <c r="DS1" s="843" t="s">
        <v>1590</v>
      </c>
      <c r="DT1" s="843"/>
      <c r="DU1" s="884" t="s">
        <v>1596</v>
      </c>
      <c r="DV1" s="884"/>
      <c r="DW1" s="878" t="s">
        <v>816</v>
      </c>
      <c r="DX1" s="878"/>
      <c r="DY1" s="843" t="s">
        <v>1616</v>
      </c>
      <c r="DZ1" s="843"/>
      <c r="EA1" s="880" t="s">
        <v>1611</v>
      </c>
      <c r="EB1" s="880"/>
      <c r="EC1" s="878" t="s">
        <v>816</v>
      </c>
      <c r="ED1" s="878"/>
      <c r="EE1" s="843" t="s">
        <v>1590</v>
      </c>
      <c r="EF1" s="843"/>
      <c r="EG1" s="361"/>
      <c r="EH1" s="880" t="s">
        <v>1641</v>
      </c>
      <c r="EI1" s="880"/>
      <c r="EJ1" s="878" t="s">
        <v>816</v>
      </c>
      <c r="EK1" s="878"/>
      <c r="EL1" s="843" t="s">
        <v>1675</v>
      </c>
      <c r="EM1" s="843"/>
      <c r="EN1" s="880" t="s">
        <v>1666</v>
      </c>
      <c r="EO1" s="880"/>
      <c r="EP1" s="878" t="s">
        <v>816</v>
      </c>
      <c r="EQ1" s="878"/>
      <c r="ER1" s="843" t="s">
        <v>1715</v>
      </c>
      <c r="ES1" s="843"/>
      <c r="ET1" s="880" t="s">
        <v>1708</v>
      </c>
      <c r="EU1" s="880"/>
      <c r="EV1" s="878" t="s">
        <v>816</v>
      </c>
      <c r="EW1" s="878"/>
      <c r="EX1" s="843" t="s">
        <v>1616</v>
      </c>
      <c r="EY1" s="843"/>
      <c r="EZ1" s="880" t="s">
        <v>1743</v>
      </c>
      <c r="FA1" s="880"/>
      <c r="FB1" s="878" t="s">
        <v>816</v>
      </c>
      <c r="FC1" s="878"/>
      <c r="FD1" s="843" t="s">
        <v>1597</v>
      </c>
      <c r="FE1" s="843"/>
      <c r="FF1" s="880" t="s">
        <v>1782</v>
      </c>
      <c r="FG1" s="880"/>
      <c r="FH1" s="878" t="s">
        <v>816</v>
      </c>
      <c r="FI1" s="878"/>
      <c r="FJ1" s="843" t="s">
        <v>1391</v>
      </c>
      <c r="FK1" s="843"/>
      <c r="FL1" s="880" t="s">
        <v>1817</v>
      </c>
      <c r="FM1" s="880"/>
      <c r="FN1" s="878" t="s">
        <v>816</v>
      </c>
      <c r="FO1" s="878"/>
      <c r="FP1" s="843" t="s">
        <v>1864</v>
      </c>
      <c r="FQ1" s="843"/>
      <c r="FR1" s="880" t="s">
        <v>1853</v>
      </c>
      <c r="FS1" s="880"/>
      <c r="FT1" s="878" t="s">
        <v>816</v>
      </c>
      <c r="FU1" s="878"/>
      <c r="FV1" s="843" t="s">
        <v>1864</v>
      </c>
      <c r="FW1" s="843"/>
      <c r="FX1" s="880" t="s">
        <v>1967</v>
      </c>
      <c r="FY1" s="880"/>
      <c r="FZ1" s="878" t="s">
        <v>816</v>
      </c>
      <c r="GA1" s="878"/>
      <c r="GB1" s="843" t="s">
        <v>1616</v>
      </c>
      <c r="GC1" s="843"/>
      <c r="GD1" s="880" t="s">
        <v>1968</v>
      </c>
      <c r="GE1" s="880"/>
      <c r="GF1" s="878" t="s">
        <v>816</v>
      </c>
      <c r="GG1" s="878"/>
      <c r="GH1" s="843" t="s">
        <v>1590</v>
      </c>
      <c r="GI1" s="843"/>
      <c r="GJ1" s="880" t="s">
        <v>1977</v>
      </c>
      <c r="GK1" s="880"/>
      <c r="GL1" s="878" t="s">
        <v>816</v>
      </c>
      <c r="GM1" s="878"/>
      <c r="GN1" s="843" t="s">
        <v>1590</v>
      </c>
      <c r="GO1" s="843"/>
      <c r="GP1" s="880" t="s">
        <v>2019</v>
      </c>
      <c r="GQ1" s="880"/>
      <c r="GR1" s="878" t="s">
        <v>816</v>
      </c>
      <c r="GS1" s="878"/>
      <c r="GT1" s="843" t="s">
        <v>1675</v>
      </c>
      <c r="GU1" s="843"/>
      <c r="GV1" s="880" t="s">
        <v>2048</v>
      </c>
      <c r="GW1" s="880"/>
      <c r="GX1" s="878" t="s">
        <v>816</v>
      </c>
      <c r="GY1" s="878"/>
      <c r="GZ1" s="843" t="s">
        <v>2087</v>
      </c>
      <c r="HA1" s="843"/>
      <c r="HB1" s="880" t="s">
        <v>2107</v>
      </c>
      <c r="HC1" s="880"/>
      <c r="HD1" s="878" t="s">
        <v>816</v>
      </c>
      <c r="HE1" s="878"/>
      <c r="HF1" s="843" t="s">
        <v>1715</v>
      </c>
      <c r="HG1" s="843"/>
      <c r="HH1" s="880" t="s">
        <v>2120</v>
      </c>
      <c r="HI1" s="880"/>
      <c r="HJ1" s="878" t="s">
        <v>816</v>
      </c>
      <c r="HK1" s="878"/>
      <c r="HL1" s="843" t="s">
        <v>1391</v>
      </c>
      <c r="HM1" s="843"/>
      <c r="HN1" s="880" t="s">
        <v>2166</v>
      </c>
      <c r="HO1" s="880"/>
      <c r="HP1" s="878" t="s">
        <v>816</v>
      </c>
      <c r="HQ1" s="878"/>
      <c r="HR1" s="843" t="s">
        <v>1391</v>
      </c>
      <c r="HS1" s="843"/>
      <c r="HT1" s="880" t="s">
        <v>2201</v>
      </c>
      <c r="HU1" s="880"/>
      <c r="HV1" s="878" t="s">
        <v>816</v>
      </c>
      <c r="HW1" s="878"/>
      <c r="HX1" s="843" t="s">
        <v>1616</v>
      </c>
      <c r="HY1" s="843"/>
      <c r="HZ1" s="880" t="s">
        <v>2246</v>
      </c>
      <c r="IA1" s="880"/>
      <c r="IB1" s="878" t="s">
        <v>816</v>
      </c>
      <c r="IC1" s="878"/>
      <c r="ID1" s="843" t="s">
        <v>1715</v>
      </c>
      <c r="IE1" s="843"/>
      <c r="IF1" s="880" t="s">
        <v>2312</v>
      </c>
      <c r="IG1" s="880"/>
      <c r="IH1" s="878" t="s">
        <v>816</v>
      </c>
      <c r="II1" s="878"/>
      <c r="IJ1" s="843" t="s">
        <v>1590</v>
      </c>
      <c r="IK1" s="843"/>
      <c r="IL1" s="880" t="s">
        <v>2382</v>
      </c>
      <c r="IM1" s="880"/>
      <c r="IN1" s="878" t="s">
        <v>816</v>
      </c>
      <c r="IO1" s="878"/>
      <c r="IP1" s="843" t="s">
        <v>1616</v>
      </c>
      <c r="IQ1" s="843"/>
      <c r="IR1" s="880" t="s">
        <v>2560</v>
      </c>
      <c r="IS1" s="880"/>
      <c r="IT1" s="878" t="s">
        <v>816</v>
      </c>
      <c r="IU1" s="878"/>
      <c r="IV1" s="843" t="s">
        <v>1748</v>
      </c>
      <c r="IW1" s="843"/>
      <c r="IX1" s="880" t="s">
        <v>2559</v>
      </c>
      <c r="IY1" s="880"/>
      <c r="IZ1" s="878" t="s">
        <v>816</v>
      </c>
      <c r="JA1" s="878"/>
      <c r="JB1" s="843" t="s">
        <v>1864</v>
      </c>
      <c r="JC1" s="843"/>
      <c r="JD1" s="880" t="s">
        <v>2600</v>
      </c>
      <c r="JE1" s="880"/>
      <c r="JF1" s="878" t="s">
        <v>816</v>
      </c>
      <c r="JG1" s="878"/>
      <c r="JH1" s="843" t="s">
        <v>1748</v>
      </c>
      <c r="JI1" s="843"/>
      <c r="JJ1" s="880" t="s">
        <v>2648</v>
      </c>
      <c r="JK1" s="880"/>
      <c r="JL1" s="579" t="s">
        <v>816</v>
      </c>
      <c r="JM1" s="579"/>
      <c r="JN1" s="576" t="s">
        <v>1748</v>
      </c>
      <c r="JO1" s="576"/>
      <c r="JP1" s="578" t="s">
        <v>2700</v>
      </c>
      <c r="JQ1" s="578"/>
      <c r="JR1" s="616" t="s">
        <v>816</v>
      </c>
      <c r="JS1" s="616"/>
      <c r="JT1" s="808" t="s">
        <v>1675</v>
      </c>
      <c r="JU1" s="613"/>
      <c r="JV1" s="615" t="s">
        <v>2745</v>
      </c>
      <c r="JW1" s="615"/>
      <c r="JX1" s="650" t="s">
        <v>816</v>
      </c>
      <c r="JY1" s="650"/>
      <c r="JZ1" s="808" t="s">
        <v>3029</v>
      </c>
      <c r="KA1" s="648"/>
      <c r="KB1" s="704" t="s">
        <v>2847</v>
      </c>
      <c r="KC1" s="711"/>
      <c r="KD1" s="701" t="s">
        <v>816</v>
      </c>
      <c r="KE1" s="701"/>
      <c r="KF1" s="798" t="s">
        <v>1391</v>
      </c>
      <c r="KG1" s="699"/>
      <c r="KH1" s="741" t="s">
        <v>2895</v>
      </c>
      <c r="KI1" s="741"/>
      <c r="KJ1" s="742" t="s">
        <v>816</v>
      </c>
      <c r="KK1" s="742"/>
      <c r="KL1" s="798" t="s">
        <v>1590</v>
      </c>
      <c r="KM1" s="739"/>
      <c r="KN1" s="741" t="s">
        <v>3013</v>
      </c>
      <c r="KO1" s="741"/>
      <c r="KP1" s="791" t="s">
        <v>816</v>
      </c>
      <c r="KQ1" s="791"/>
      <c r="KR1" s="788" t="s">
        <v>1748</v>
      </c>
      <c r="KS1" s="788"/>
      <c r="KT1" s="790" t="s">
        <v>3013</v>
      </c>
      <c r="KU1" s="790"/>
      <c r="KV1" s="47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1947</v>
      </c>
      <c r="FY2" s="2">
        <f>FY3+FW14</f>
        <v>201710.53</v>
      </c>
      <c r="FZ2" s="60"/>
      <c r="GD2" t="s">
        <v>1947</v>
      </c>
      <c r="GE2" s="2">
        <f>GE3+(FY2-FY3+GC15)</f>
        <v>232108.07</v>
      </c>
      <c r="GF2" s="60"/>
      <c r="GL2" s="60"/>
      <c r="GP2" t="s">
        <v>2150</v>
      </c>
      <c r="GQ2" s="2">
        <f>GQ3-SUM(GQ38:GQ40)</f>
        <v>4523.6810000000114</v>
      </c>
      <c r="GR2" s="60"/>
      <c r="GV2" t="s">
        <v>2150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2150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2150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2150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2150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2150</v>
      </c>
      <c r="IA2" s="2">
        <f>IA3-($GQ$39-$HG$38-$HG$37-$HM$36)</f>
        <v>535434.1</v>
      </c>
      <c r="IB2" t="s">
        <v>295</v>
      </c>
      <c r="IC2" s="405">
        <f>SUM(IC3:IC22)</f>
        <v>16754.070999999996</v>
      </c>
      <c r="ID2" s="334" t="s">
        <v>296</v>
      </c>
      <c r="IE2" s="273">
        <f>IC2+IA3-IG2</f>
        <v>59936.531000000134</v>
      </c>
      <c r="IF2" t="s">
        <v>1889</v>
      </c>
      <c r="IG2" s="268">
        <f>SUM(IG3:IG33)</f>
        <v>496124.18999999989</v>
      </c>
      <c r="IH2" t="s">
        <v>295</v>
      </c>
      <c r="II2" s="405">
        <f>SUM(II3:II30)</f>
        <v>15115.660000000002</v>
      </c>
      <c r="IJ2" s="334" t="s">
        <v>296</v>
      </c>
      <c r="IK2" s="273">
        <f>II2+IG2-IM2</f>
        <v>13100.419999999925</v>
      </c>
      <c r="IL2" t="s">
        <v>1889</v>
      </c>
      <c r="IM2" s="268">
        <f>SUM(IM3:IM29)</f>
        <v>498139.42999999993</v>
      </c>
      <c r="IN2" t="s">
        <v>295</v>
      </c>
      <c r="IO2" s="405">
        <f>SUM(IO3:IO26)</f>
        <v>14255.219999999998</v>
      </c>
      <c r="IP2" s="334" t="s">
        <v>296</v>
      </c>
      <c r="IQ2" s="273">
        <f>IO2+IM2-IS2</f>
        <v>11408.649999999907</v>
      </c>
      <c r="IR2" t="s">
        <v>1889</v>
      </c>
      <c r="IS2" s="268">
        <f>SUM(IS3:IS31)</f>
        <v>500986</v>
      </c>
      <c r="IT2" s="460" t="s">
        <v>295</v>
      </c>
      <c r="IU2" s="405">
        <f>SUM(IU3:IU19)</f>
        <v>42025.250000000007</v>
      </c>
      <c r="IV2" s="334" t="s">
        <v>296</v>
      </c>
      <c r="IW2" s="273">
        <f>IU2+IS2-IY2</f>
        <v>11439.986999999965</v>
      </c>
      <c r="IX2" s="460" t="s">
        <v>1889</v>
      </c>
      <c r="IY2" s="268">
        <f>SUM(IY5:IY25)</f>
        <v>531571.26300000004</v>
      </c>
      <c r="IZ2" s="502" t="s">
        <v>295</v>
      </c>
      <c r="JA2" s="405">
        <f>SUM(JA4:JA24)</f>
        <v>29637.580999999998</v>
      </c>
      <c r="JB2" s="334" t="s">
        <v>296</v>
      </c>
      <c r="JC2" s="273">
        <f>JA2+IY2-JE2</f>
        <v>11138.844000000041</v>
      </c>
      <c r="JD2" s="502" t="s">
        <v>1889</v>
      </c>
      <c r="JE2" s="268">
        <f>SUM(JE5:JE27)</f>
        <v>550070</v>
      </c>
      <c r="JF2" s="545" t="s">
        <v>295</v>
      </c>
      <c r="JG2" s="405">
        <f>SUM(JG4:JG26)</f>
        <v>16908.759999999998</v>
      </c>
      <c r="JH2" s="334" t="s">
        <v>296</v>
      </c>
      <c r="JI2" s="273">
        <f>JG2+JE2-JK2</f>
        <v>166094.66000000003</v>
      </c>
      <c r="JJ2" s="545" t="s">
        <v>1889</v>
      </c>
      <c r="JK2" s="268">
        <f>SUM(JK5:JK30)</f>
        <v>400884.1</v>
      </c>
      <c r="JL2" s="577" t="s">
        <v>295</v>
      </c>
      <c r="JM2" s="405">
        <f>SUM(JM4:JM25)</f>
        <v>16944.660999999996</v>
      </c>
      <c r="JN2" s="334" t="s">
        <v>296</v>
      </c>
      <c r="JO2" s="273">
        <f>JM2+JK2-JQ2</f>
        <v>126904.96100000001</v>
      </c>
      <c r="JP2" s="577" t="s">
        <v>1889</v>
      </c>
      <c r="JQ2" s="363">
        <f>SUM(JQ3:JQ34)</f>
        <v>290923.8</v>
      </c>
      <c r="JR2" s="614" t="s">
        <v>295</v>
      </c>
      <c r="JS2" s="405">
        <f>SUM(JS4:JS23)</f>
        <v>24019.189999999995</v>
      </c>
      <c r="JT2" s="334" t="s">
        <v>296</v>
      </c>
      <c r="JU2" s="273">
        <f>JS2+JQ2-JW2</f>
        <v>13510.390000000014</v>
      </c>
      <c r="JV2" s="614" t="s">
        <v>1889</v>
      </c>
      <c r="JW2" s="363">
        <f>SUM(JW3:JW27)</f>
        <v>301432.59999999998</v>
      </c>
      <c r="JX2" s="649" t="s">
        <v>295</v>
      </c>
      <c r="JY2" s="405">
        <f>SUM(JY4:JY24)</f>
        <v>33121.270000000004</v>
      </c>
      <c r="JZ2" s="334" t="s">
        <v>296</v>
      </c>
      <c r="KA2" s="273">
        <f>JY2+JW2-KC2</f>
        <v>20399.229999999981</v>
      </c>
      <c r="KB2" s="703" t="s">
        <v>1889</v>
      </c>
      <c r="KC2" s="363">
        <f>SUM(KC3:KC27)</f>
        <v>314154.64</v>
      </c>
      <c r="KD2" s="700" t="s">
        <v>295</v>
      </c>
      <c r="KE2" s="405">
        <f>SUM(KE4:KE23)</f>
        <v>231591.91500000001</v>
      </c>
      <c r="KF2" s="334" t="s">
        <v>296</v>
      </c>
      <c r="KG2" s="273">
        <f>KE2+KC2-KI4</f>
        <v>207950.11500000005</v>
      </c>
      <c r="KH2" s="755" t="s">
        <v>3000</v>
      </c>
      <c r="KI2" s="268">
        <f>KI4+KI3-SUM(KI5:KI6)</f>
        <v>80796.44</v>
      </c>
      <c r="KJ2" s="810" t="s">
        <v>3033</v>
      </c>
      <c r="KK2" s="405">
        <f>SUM(KK4:KK25)</f>
        <v>15018.650000000001</v>
      </c>
      <c r="KL2" s="334" t="s">
        <v>296</v>
      </c>
      <c r="KM2" s="273">
        <f>KK2+KI4-KO4</f>
        <v>61259.45000000007</v>
      </c>
      <c r="KN2" s="774" t="s">
        <v>3000</v>
      </c>
      <c r="KO2" s="775">
        <f>SUM(KO3:KO4)-KO9</f>
        <v>44555.639999999956</v>
      </c>
      <c r="KP2" s="789" t="s">
        <v>3033</v>
      </c>
      <c r="KQ2" s="405">
        <f>SUM(KQ4:KQ27)</f>
        <v>7457.8</v>
      </c>
      <c r="KR2" s="334" t="s">
        <v>296</v>
      </c>
      <c r="KS2" s="273">
        <f>KQ2+KO4-KU4</f>
        <v>7336.3999999999069</v>
      </c>
      <c r="KU2" s="775"/>
      <c r="KV2" s="493"/>
    </row>
    <row r="3" spans="1:309">
      <c r="A3" s="840" t="s">
        <v>991</v>
      </c>
      <c r="B3" s="840"/>
      <c r="E3" s="170" t="s">
        <v>233</v>
      </c>
      <c r="F3" s="174">
        <f>F2-F4</f>
        <v>17</v>
      </c>
      <c r="G3" s="840" t="s">
        <v>991</v>
      </c>
      <c r="H3" s="840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1989</v>
      </c>
      <c r="EY3" s="286">
        <f>EY2-EY6</f>
        <v>3574.4209999999985</v>
      </c>
      <c r="EZ3" s="1" t="s">
        <v>1630</v>
      </c>
      <c r="FA3" s="1">
        <v>-1778</v>
      </c>
      <c r="FD3" t="s">
        <v>1989</v>
      </c>
      <c r="FE3" s="286">
        <f>FE2-FE6</f>
        <v>3502.921000000008</v>
      </c>
      <c r="FF3" s="1" t="s">
        <v>1630</v>
      </c>
      <c r="FG3" s="1">
        <v>-1252</v>
      </c>
      <c r="FJ3" t="s">
        <v>1989</v>
      </c>
      <c r="FK3" s="286">
        <f>FK2-FK6</f>
        <v>3295.199999999998</v>
      </c>
      <c r="FL3" t="s">
        <v>1806</v>
      </c>
      <c r="FM3" s="2">
        <v>160000</v>
      </c>
      <c r="FP3" t="s">
        <v>1989</v>
      </c>
      <c r="FQ3" s="286">
        <f>FQ2-FQ7-FQ6</f>
        <v>4761.7000000000071</v>
      </c>
      <c r="FR3" t="s">
        <v>1806</v>
      </c>
      <c r="FS3" s="2">
        <v>198000</v>
      </c>
      <c r="FV3" t="s">
        <v>1989</v>
      </c>
      <c r="FW3" s="286">
        <f>FW2-FW7-FW6</f>
        <v>5622.1610000000019</v>
      </c>
      <c r="FX3" t="s">
        <v>1889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1889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1889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2147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2147</v>
      </c>
      <c r="GW3" s="363">
        <f>SUM(GW4:GW32)</f>
        <v>62070.49</v>
      </c>
      <c r="GZ3" t="s">
        <v>1989</v>
      </c>
      <c r="HA3" s="286">
        <f>HA2-HA7-HA6</f>
        <v>6840.9766666666601</v>
      </c>
      <c r="HB3" t="s">
        <v>2147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2328</v>
      </c>
      <c r="HG3" s="52">
        <f>HG2-HG8-HG7</f>
        <v>22350.936666666661</v>
      </c>
      <c r="HH3" t="s">
        <v>2147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2328</v>
      </c>
      <c r="HM3" s="2">
        <f>HM2-HK25-HK24</f>
        <v>23006.927666666677</v>
      </c>
      <c r="HN3" t="s">
        <v>2167</v>
      </c>
      <c r="HO3" s="363">
        <f>SUM(HO4:HO29)</f>
        <v>38440.06</v>
      </c>
      <c r="HP3" t="s">
        <v>633</v>
      </c>
      <c r="HQ3">
        <v>15123.78</v>
      </c>
      <c r="HR3" t="s">
        <v>1989</v>
      </c>
      <c r="HS3" s="273">
        <f>HS2-HQ28-HQ27-HS38</f>
        <v>3995.2866666666582</v>
      </c>
      <c r="HT3" t="s">
        <v>2147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2324</v>
      </c>
      <c r="HY3" s="273"/>
      <c r="HZ3" t="s">
        <v>2290</v>
      </c>
      <c r="IA3" s="363">
        <f>SUM(IA6:IA39)</f>
        <v>539306.65</v>
      </c>
      <c r="IB3" t="s">
        <v>633</v>
      </c>
      <c r="IC3" s="405">
        <v>15104.63</v>
      </c>
      <c r="ID3" s="334" t="s">
        <v>2328</v>
      </c>
      <c r="IE3" s="273">
        <f>IE2-IC26-IC27</f>
        <v>6802.6743333334671</v>
      </c>
      <c r="IF3" t="s">
        <v>2291</v>
      </c>
      <c r="IG3" s="268">
        <f>$IA$6</f>
        <v>0</v>
      </c>
      <c r="IH3" t="s">
        <v>633</v>
      </c>
      <c r="II3" s="405">
        <v>15104.63</v>
      </c>
      <c r="IJ3" t="s">
        <v>1725</v>
      </c>
      <c r="IK3" s="273">
        <f>IK2-II44-II42</f>
        <v>9220.5533333332605</v>
      </c>
      <c r="IL3" t="s">
        <v>2291</v>
      </c>
      <c r="IM3" s="268">
        <f>$IA$6</f>
        <v>0</v>
      </c>
      <c r="IN3" t="s">
        <v>633</v>
      </c>
      <c r="IO3" s="451">
        <v>15104.63</v>
      </c>
      <c r="IP3" t="s">
        <v>2342</v>
      </c>
      <c r="IQ3" s="273">
        <f>IQ2-IO34-IO33</f>
        <v>5631.8933333332407</v>
      </c>
      <c r="IR3" t="s">
        <v>2291</v>
      </c>
      <c r="IS3" s="268">
        <f>$IA$6</f>
        <v>0</v>
      </c>
      <c r="IT3" s="460" t="s">
        <v>633</v>
      </c>
      <c r="IU3" s="451">
        <v>43151.3</v>
      </c>
      <c r="IV3" s="460" t="s">
        <v>2342</v>
      </c>
      <c r="IW3" s="273">
        <f>IW2-IU24-IU23</f>
        <v>5412.000333333297</v>
      </c>
      <c r="IX3" s="623"/>
      <c r="IY3" s="363"/>
      <c r="IZ3" s="537"/>
      <c r="JA3" s="405"/>
      <c r="JB3" s="502" t="s">
        <v>2342</v>
      </c>
      <c r="JC3" s="273">
        <f>JC2-JA30-JA29</f>
        <v>5095.8330000000415</v>
      </c>
      <c r="JD3" s="623"/>
      <c r="JE3" s="363"/>
      <c r="JG3" s="405"/>
      <c r="JH3" s="545" t="s">
        <v>2342</v>
      </c>
      <c r="JI3" s="273">
        <f>JI2-JG29-JG28</f>
        <v>5318.7558739726428</v>
      </c>
      <c r="JJ3" s="623"/>
      <c r="JK3" s="363"/>
      <c r="JM3" s="405"/>
      <c r="JN3" s="577" t="s">
        <v>2342</v>
      </c>
      <c r="JO3" s="273">
        <f>JO2-JM28-JM27</f>
        <v>7527.189000000023</v>
      </c>
      <c r="JP3" s="577" t="s">
        <v>2718</v>
      </c>
      <c r="JQ3" s="203">
        <f>$IA$6</f>
        <v>0</v>
      </c>
      <c r="JS3" s="405"/>
      <c r="JT3" s="614" t="s">
        <v>2342</v>
      </c>
      <c r="JU3" s="273">
        <f>JU2-JS26-JS25</f>
        <v>4220.0940000000155</v>
      </c>
      <c r="JV3" s="631" t="s">
        <v>2291</v>
      </c>
      <c r="JW3" s="203">
        <f>$IA$6</f>
        <v>0</v>
      </c>
      <c r="JY3" s="405"/>
      <c r="JZ3" s="649" t="s">
        <v>2342</v>
      </c>
      <c r="KA3" s="273">
        <f>KA2-JY41-JY40</f>
        <v>6486.8099999999822</v>
      </c>
      <c r="KB3" s="717" t="s">
        <v>2855</v>
      </c>
      <c r="KC3" s="268">
        <v>-71000</v>
      </c>
      <c r="KE3" s="405"/>
      <c r="KF3" s="700" t="s">
        <v>2342</v>
      </c>
      <c r="KG3" s="273">
        <f>KG2-KE30-KE29</f>
        <v>3005.0550000000767</v>
      </c>
      <c r="KH3" s="755" t="s">
        <v>2911</v>
      </c>
      <c r="KI3" s="268">
        <v>-100000</v>
      </c>
      <c r="KK3" s="405"/>
      <c r="KL3" s="740" t="s">
        <v>2342</v>
      </c>
      <c r="KM3" s="273">
        <f>KM2-KK37-KK36</f>
        <v>5780.6940000000668</v>
      </c>
      <c r="KN3" s="809" t="s">
        <v>3020</v>
      </c>
      <c r="KO3" s="268">
        <v>-50000</v>
      </c>
      <c r="KQ3" s="405"/>
      <c r="KR3" s="789" t="s">
        <v>2342</v>
      </c>
      <c r="KS3" s="273">
        <f>KS2-KQ35-KQ34</f>
        <v>4113.1099999999069</v>
      </c>
      <c r="KT3" s="789" t="s">
        <v>3020</v>
      </c>
      <c r="KU3" s="268">
        <v>-50000</v>
      </c>
      <c r="KV3" s="493"/>
    </row>
    <row r="4" spans="1:309" ht="12.75" customHeight="1" thickBot="1">
      <c r="A4" s="840"/>
      <c r="B4" s="840"/>
      <c r="E4" s="170" t="s">
        <v>352</v>
      </c>
      <c r="F4" s="174">
        <f>SUM(F14:F57)</f>
        <v>12750</v>
      </c>
      <c r="G4" s="840"/>
      <c r="H4" s="840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1880</v>
      </c>
      <c r="FY4" s="2">
        <v>180000</v>
      </c>
      <c r="GB4" t="s">
        <v>1989</v>
      </c>
      <c r="GC4" s="286">
        <f>GC3-GC8-GC7</f>
        <v>2747.1799999999898</v>
      </c>
      <c r="GD4" t="s">
        <v>1880</v>
      </c>
      <c r="GE4" s="2">
        <v>145000</v>
      </c>
      <c r="GH4" t="s">
        <v>1989</v>
      </c>
      <c r="GI4" s="286">
        <f>GI3-GI8-GI7</f>
        <v>5855.1089999999813</v>
      </c>
      <c r="GJ4" t="s">
        <v>1880</v>
      </c>
      <c r="GK4" s="2">
        <v>164000</v>
      </c>
      <c r="GN4" t="s">
        <v>1989</v>
      </c>
      <c r="GO4" s="286">
        <f>GO3-GO8-GO7</f>
        <v>4720.0899999999965</v>
      </c>
      <c r="GP4" t="s">
        <v>1880</v>
      </c>
      <c r="GQ4" s="2">
        <v>176000</v>
      </c>
      <c r="GT4" t="s">
        <v>1989</v>
      </c>
      <c r="GU4" s="286">
        <f>GU3-GU8-GU7</f>
        <v>2094.1210000000328</v>
      </c>
      <c r="GV4" t="s">
        <v>1880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1880</v>
      </c>
      <c r="HC4" s="2">
        <v>103000</v>
      </c>
      <c r="HF4" t="s">
        <v>2329</v>
      </c>
      <c r="HG4" s="286">
        <f>HG3-SUM(HG37:HG38)</f>
        <v>1983.4866666666603</v>
      </c>
      <c r="HH4" t="s">
        <v>1880</v>
      </c>
      <c r="HI4" s="2">
        <v>85000</v>
      </c>
      <c r="HJ4" t="s">
        <v>633</v>
      </c>
      <c r="HK4">
        <v>15123.78</v>
      </c>
      <c r="HL4" t="s">
        <v>2329</v>
      </c>
      <c r="HM4" s="273">
        <f>HM3-HM36</f>
        <v>2246.9276666666774</v>
      </c>
      <c r="HN4" t="s">
        <v>1880</v>
      </c>
      <c r="HO4" s="2">
        <v>78000</v>
      </c>
      <c r="HP4" t="s">
        <v>2190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2328</v>
      </c>
      <c r="HY4" s="2">
        <f>HY2-HW25-HW24</f>
        <v>11602.456666666816</v>
      </c>
      <c r="HZ4" t="s">
        <v>2292</v>
      </c>
      <c r="IA4" s="363"/>
      <c r="IB4" t="s">
        <v>2296</v>
      </c>
      <c r="IC4" s="405">
        <v>-1437.02</v>
      </c>
      <c r="ID4" t="s">
        <v>2341</v>
      </c>
      <c r="IE4" s="273">
        <f>IE3-IE59</f>
        <v>3490.8843333334671</v>
      </c>
      <c r="IF4" s="1" t="s">
        <v>1630</v>
      </c>
      <c r="IG4" s="142">
        <v>-192</v>
      </c>
      <c r="IH4" t="s">
        <v>2366</v>
      </c>
      <c r="II4" s="405">
        <v>-1437.02</v>
      </c>
      <c r="IJ4" s="431" t="s">
        <v>2388</v>
      </c>
      <c r="IK4" s="273">
        <f>IK3-II45</f>
        <v>5752.8033333332605</v>
      </c>
      <c r="IL4" s="1" t="s">
        <v>2229</v>
      </c>
      <c r="IM4" s="272">
        <v>-75000</v>
      </c>
      <c r="IN4" t="s">
        <v>2366</v>
      </c>
      <c r="IO4" s="405">
        <v>-1437.02</v>
      </c>
      <c r="IP4" t="s">
        <v>1203</v>
      </c>
      <c r="IQ4" s="286">
        <f>IQ2-IQ5</f>
        <v>2.9699999999083957</v>
      </c>
      <c r="IR4" s="1" t="s">
        <v>2229</v>
      </c>
      <c r="IS4" s="272">
        <v>-75000</v>
      </c>
      <c r="IT4" s="494" t="s">
        <v>2562</v>
      </c>
      <c r="IU4" s="451">
        <v>-1437.02</v>
      </c>
      <c r="IV4" s="552" t="s">
        <v>2388</v>
      </c>
      <c r="IW4" s="273">
        <f>IW3-IU25</f>
        <v>2897.9403333332971</v>
      </c>
      <c r="IX4" s="623"/>
      <c r="IY4" s="363"/>
      <c r="IZ4" s="502" t="s">
        <v>633</v>
      </c>
      <c r="JA4" s="451">
        <v>30921.3</v>
      </c>
      <c r="JB4" s="552" t="s">
        <v>2388</v>
      </c>
      <c r="JC4" s="273">
        <f>JC3-JA31</f>
        <v>3741.5130000000418</v>
      </c>
      <c r="JD4" s="623"/>
      <c r="JE4" s="363"/>
      <c r="JF4" s="545" t="s">
        <v>3037</v>
      </c>
      <c r="JG4" s="451">
        <v>17271.3</v>
      </c>
      <c r="JH4" s="545" t="s">
        <v>1203</v>
      </c>
      <c r="JI4" s="286">
        <f>JI2-JI5</f>
        <v>-0.59412602733937092</v>
      </c>
      <c r="JJ4" s="623"/>
      <c r="JK4" s="268"/>
      <c r="JL4" s="577" t="s">
        <v>3037</v>
      </c>
      <c r="JM4" s="451">
        <v>17271.3</v>
      </c>
      <c r="JN4" s="577" t="s">
        <v>1203</v>
      </c>
      <c r="JO4" s="286">
        <f>JO2-JO5</f>
        <v>-0.21999999998661224</v>
      </c>
      <c r="JP4" s="577" t="s">
        <v>2672</v>
      </c>
      <c r="JQ4" s="268">
        <f>-71000-140000</f>
        <v>-211000</v>
      </c>
      <c r="JR4" s="614" t="s">
        <v>3037</v>
      </c>
      <c r="JS4" s="451">
        <v>17271.3</v>
      </c>
      <c r="JT4" s="614" t="s">
        <v>1203</v>
      </c>
      <c r="JU4" s="286">
        <f>JU2-JU5</f>
        <v>-8.9999999985593604E-2</v>
      </c>
      <c r="JV4" s="614" t="s">
        <v>2672</v>
      </c>
      <c r="JW4" s="268">
        <f>$JQ$4</f>
        <v>-211000</v>
      </c>
      <c r="JX4" s="649" t="s">
        <v>3038</v>
      </c>
      <c r="JY4" s="451">
        <f>17271.3*2</f>
        <v>34542.6</v>
      </c>
      <c r="JZ4" s="649" t="s">
        <v>1203</v>
      </c>
      <c r="KA4" s="286">
        <f>KA2-KA5</f>
        <v>0.44856871762385708</v>
      </c>
      <c r="KB4" s="717" t="s">
        <v>2856</v>
      </c>
      <c r="KC4" s="268">
        <f>-140000</f>
        <v>-140000</v>
      </c>
      <c r="KD4" s="700" t="s">
        <v>3037</v>
      </c>
      <c r="KE4" s="451">
        <v>17271.3</v>
      </c>
      <c r="KF4" s="700" t="s">
        <v>1203</v>
      </c>
      <c r="KG4" s="286">
        <f>KG2-KG5</f>
        <v>-0.17599999997764826</v>
      </c>
      <c r="KH4" s="809" t="s">
        <v>3028</v>
      </c>
      <c r="KI4" s="363">
        <f>SUM(KI5:KI36)</f>
        <v>337796.44</v>
      </c>
      <c r="KJ4" s="740" t="s">
        <v>3037</v>
      </c>
      <c r="KK4" s="451">
        <v>17211.3</v>
      </c>
      <c r="KL4" s="740" t="s">
        <v>1203</v>
      </c>
      <c r="KM4" s="799">
        <f>KM2-KM5</f>
        <v>0.45000000006257324</v>
      </c>
      <c r="KN4" s="809" t="s">
        <v>3030</v>
      </c>
      <c r="KO4" s="363">
        <f>SUM(KO9:KO38)</f>
        <v>291555.63999999996</v>
      </c>
      <c r="KP4" s="789" t="s">
        <v>3037</v>
      </c>
      <c r="KQ4" s="451"/>
      <c r="KR4" s="789" t="s">
        <v>1203</v>
      </c>
      <c r="KS4" s="799">
        <f>KS2-KS5</f>
        <v>-0.6300000000919681</v>
      </c>
      <c r="KT4" s="789" t="s">
        <v>3046</v>
      </c>
      <c r="KU4" s="363">
        <f>SUM(KU11:KU43)</f>
        <v>291677.04000000004</v>
      </c>
      <c r="KV4" s="493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3037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3037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3037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3037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1896</v>
      </c>
      <c r="FU5" s="242">
        <v>558</v>
      </c>
      <c r="FV5" t="s">
        <v>352</v>
      </c>
      <c r="FW5" s="286">
        <f>SUM(FW12:FW49)</f>
        <v>76726.42</v>
      </c>
      <c r="FX5" t="s">
        <v>1897</v>
      </c>
      <c r="FY5" s="268">
        <v>-12000</v>
      </c>
      <c r="FZ5" t="s">
        <v>1964</v>
      </c>
      <c r="GB5" t="s">
        <v>1203</v>
      </c>
      <c r="GC5" s="286">
        <f>GC3-GC6</f>
        <v>1.2699999999895226</v>
      </c>
      <c r="GD5" t="s">
        <v>1897</v>
      </c>
      <c r="GE5" s="268">
        <v>-11000</v>
      </c>
      <c r="GF5" t="s">
        <v>1951</v>
      </c>
      <c r="GH5" t="s">
        <v>1203</v>
      </c>
      <c r="GI5" s="286">
        <f>GI3-GI6</f>
        <v>-1.8210000000181026</v>
      </c>
      <c r="GJ5" t="s">
        <v>1946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1946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1946</v>
      </c>
      <c r="GW5" s="268">
        <v>-9000</v>
      </c>
      <c r="GX5" t="s">
        <v>2184</v>
      </c>
      <c r="GY5">
        <v>-1437.02</v>
      </c>
      <c r="GZ5" t="s">
        <v>352</v>
      </c>
      <c r="HA5" s="286">
        <f>SUM(HA12:HA51)</f>
        <v>10745.362000000001</v>
      </c>
      <c r="HB5" t="s">
        <v>1946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1946</v>
      </c>
      <c r="HI5" s="268">
        <v>-6000</v>
      </c>
      <c r="HJ5" t="s">
        <v>2184</v>
      </c>
      <c r="HK5">
        <v>-1437.02</v>
      </c>
      <c r="HL5" t="s">
        <v>1203</v>
      </c>
      <c r="HM5" s="286">
        <f>HM2-HM6</f>
        <v>-0.18999999998777639</v>
      </c>
      <c r="HN5" t="s">
        <v>1946</v>
      </c>
      <c r="HO5" s="268">
        <v>-6000</v>
      </c>
      <c r="HP5" t="s">
        <v>2129</v>
      </c>
      <c r="HQ5">
        <v>51</v>
      </c>
      <c r="HR5" t="s">
        <v>352</v>
      </c>
      <c r="HS5" s="273">
        <f>SUM(HS6:HS45)</f>
        <v>8267.1200000000008</v>
      </c>
      <c r="HT5" s="393" t="s">
        <v>1946</v>
      </c>
      <c r="HU5" s="394">
        <f>HO5-HT7</f>
        <v>-13000</v>
      </c>
      <c r="HV5" t="s">
        <v>2297</v>
      </c>
      <c r="HW5" s="52">
        <v>-1437.02</v>
      </c>
      <c r="HX5" t="s">
        <v>2325</v>
      </c>
      <c r="HY5" s="273">
        <f>HY4-HY55</f>
        <v>4272.9566666668161</v>
      </c>
      <c r="HZ5" t="s">
        <v>2293</v>
      </c>
      <c r="IA5" s="363"/>
      <c r="IB5" t="s">
        <v>1578</v>
      </c>
      <c r="IC5" s="405"/>
      <c r="ID5" t="s">
        <v>1203</v>
      </c>
      <c r="IE5" s="286">
        <f>IE2-IE6</f>
        <v>-0.92899999987275805</v>
      </c>
      <c r="IF5" s="6" t="s">
        <v>1875</v>
      </c>
      <c r="IG5" s="359">
        <v>14.67</v>
      </c>
      <c r="IH5" t="s">
        <v>2360</v>
      </c>
      <c r="II5" s="405">
        <v>100</v>
      </c>
      <c r="IJ5" t="s">
        <v>1203</v>
      </c>
      <c r="IK5" s="286">
        <f>IK2-IK6</f>
        <v>1.0099999999274587</v>
      </c>
      <c r="IL5" s="433" t="s">
        <v>2347</v>
      </c>
      <c r="IM5" s="2">
        <v>0</v>
      </c>
      <c r="IO5" s="405"/>
      <c r="IP5" t="s">
        <v>352</v>
      </c>
      <c r="IQ5" s="273">
        <f>SUM(IQ6:IQ59)</f>
        <v>11405.679999999998</v>
      </c>
      <c r="IR5" s="66" t="s">
        <v>2347</v>
      </c>
      <c r="IS5" s="2">
        <v>0</v>
      </c>
      <c r="IT5" s="537" t="s">
        <v>2511</v>
      </c>
      <c r="IU5" s="405">
        <f>-11-12-13</f>
        <v>-36</v>
      </c>
      <c r="IV5" s="460" t="s">
        <v>1203</v>
      </c>
      <c r="IW5" s="286">
        <f>IW2-IW6</f>
        <v>0.48699999996097176</v>
      </c>
      <c r="IX5" s="460" t="s">
        <v>2291</v>
      </c>
      <c r="IY5" s="268">
        <f>$IA$6</f>
        <v>0</v>
      </c>
      <c r="IZ5" s="502" t="s">
        <v>2562</v>
      </c>
      <c r="JA5" s="451">
        <v>-71</v>
      </c>
      <c r="JB5" s="502" t="s">
        <v>1203</v>
      </c>
      <c r="JC5" s="286">
        <f>JC2-JC6</f>
        <v>-3.9079999999557913</v>
      </c>
      <c r="JD5" s="502" t="s">
        <v>2291</v>
      </c>
      <c r="JE5" s="268">
        <f>$IA$6</f>
        <v>0</v>
      </c>
      <c r="JF5" s="545" t="s">
        <v>2562</v>
      </c>
      <c r="JG5" s="451">
        <v>-5.95</v>
      </c>
      <c r="JH5" s="545" t="s">
        <v>352</v>
      </c>
      <c r="JI5" s="273">
        <f>SUM(JI6:JI47)</f>
        <v>166095.25412602737</v>
      </c>
      <c r="JJ5" s="545" t="s">
        <v>2291</v>
      </c>
      <c r="JK5" s="203">
        <f>$IA$6</f>
        <v>0</v>
      </c>
      <c r="JL5" s="577" t="s">
        <v>2511</v>
      </c>
      <c r="JM5" s="405">
        <v>-1400</v>
      </c>
      <c r="JN5" s="577" t="s">
        <v>352</v>
      </c>
      <c r="JO5" s="273">
        <f>SUM(JO6:JO51)</f>
        <v>126905.181</v>
      </c>
      <c r="JP5" s="583" t="s">
        <v>2575</v>
      </c>
      <c r="JQ5" s="399">
        <v>-80000</v>
      </c>
      <c r="JR5" s="632" t="s">
        <v>2934</v>
      </c>
      <c r="JS5" s="451">
        <v>-30</v>
      </c>
      <c r="JT5" s="614" t="s">
        <v>352</v>
      </c>
      <c r="JU5" s="273">
        <f>SUM(JU6:JU50)</f>
        <v>13510.48</v>
      </c>
      <c r="JV5" s="619" t="s">
        <v>2575</v>
      </c>
      <c r="JW5" s="399">
        <v>-77000</v>
      </c>
      <c r="JX5" s="649" t="s">
        <v>2935</v>
      </c>
      <c r="JY5" s="451">
        <v>-30</v>
      </c>
      <c r="JZ5" s="649" t="s">
        <v>352</v>
      </c>
      <c r="KA5" s="273">
        <f>SUM(KA6:KA71)</f>
        <v>20398.781431282358</v>
      </c>
      <c r="KB5" s="717" t="s">
        <v>2857</v>
      </c>
      <c r="KC5" s="268">
        <f>-135000</f>
        <v>-135000</v>
      </c>
      <c r="KD5" s="700" t="s">
        <v>2859</v>
      </c>
      <c r="KE5" s="451">
        <v>-107.13</v>
      </c>
      <c r="KF5" s="700" t="s">
        <v>352</v>
      </c>
      <c r="KG5" s="273">
        <f>SUM(KG6:KG48)</f>
        <v>207950.29100000003</v>
      </c>
      <c r="KH5" s="205" t="s">
        <v>2870</v>
      </c>
      <c r="KI5" s="399">
        <v>7000</v>
      </c>
      <c r="KJ5" s="740" t="s">
        <v>2562</v>
      </c>
      <c r="KK5" s="451">
        <v>-132.12</v>
      </c>
      <c r="KL5" s="740" t="s">
        <v>352</v>
      </c>
      <c r="KM5" s="273">
        <f>SUM(KM6:KM51)</f>
        <v>61259.000000000007</v>
      </c>
      <c r="KN5" s="779">
        <v>7000</v>
      </c>
      <c r="KO5" s="780">
        <v>45342</v>
      </c>
      <c r="KP5" s="789" t="s">
        <v>2915</v>
      </c>
      <c r="KQ5" s="405">
        <v>-30</v>
      </c>
      <c r="KR5" s="789" t="s">
        <v>352</v>
      </c>
      <c r="KS5" s="273">
        <f>SUM(KS6:KS53)</f>
        <v>7337.0299999999988</v>
      </c>
      <c r="KT5" s="779">
        <v>7000</v>
      </c>
      <c r="KU5" s="780">
        <v>45342</v>
      </c>
      <c r="KV5" s="493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1929</v>
      </c>
      <c r="FQ6" s="286">
        <f>FQ12</f>
        <v>1800.12</v>
      </c>
      <c r="FR6" s="6" t="s">
        <v>1838</v>
      </c>
      <c r="FS6">
        <v>3740</v>
      </c>
      <c r="FT6" s="342" t="s">
        <v>1913</v>
      </c>
      <c r="FU6">
        <v>15</v>
      </c>
      <c r="FV6" s="352" t="s">
        <v>1929</v>
      </c>
      <c r="FW6" s="286">
        <f>FW12</f>
        <v>1800.01</v>
      </c>
      <c r="FX6" t="s">
        <v>1881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1881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1881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1881</v>
      </c>
      <c r="GQ6" s="2">
        <v>-81000</v>
      </c>
      <c r="GR6" t="s">
        <v>2184</v>
      </c>
      <c r="GS6">
        <v>-1437.02</v>
      </c>
      <c r="GT6" t="s">
        <v>352</v>
      </c>
      <c r="GU6" s="286">
        <f>SUM(GU13:GU56)</f>
        <v>90984.639999999999</v>
      </c>
      <c r="GV6" t="s">
        <v>1881</v>
      </c>
      <c r="GW6" s="2">
        <v>-82000</v>
      </c>
      <c r="GY6" s="242"/>
      <c r="GZ6" s="352" t="s">
        <v>1929</v>
      </c>
      <c r="HA6" s="286">
        <f>SUM(HA12:HA12)</f>
        <v>1800.06</v>
      </c>
      <c r="HB6" t="s">
        <v>2102</v>
      </c>
      <c r="HC6" s="268"/>
      <c r="HD6" t="s">
        <v>2184</v>
      </c>
      <c r="HE6">
        <v>-1437.02</v>
      </c>
      <c r="HF6" t="s">
        <v>352</v>
      </c>
      <c r="HG6" s="286">
        <f>SUM(HG13:HG45)</f>
        <v>27438.16</v>
      </c>
      <c r="HH6" t="s">
        <v>1881</v>
      </c>
      <c r="HI6" s="2">
        <v>-82000</v>
      </c>
      <c r="HJ6" t="s">
        <v>2129</v>
      </c>
      <c r="HK6">
        <f>50+15</f>
        <v>65</v>
      </c>
      <c r="HL6" t="s">
        <v>352</v>
      </c>
      <c r="HM6" s="273">
        <f>SUM(HM7:HM39)</f>
        <v>27357.731</v>
      </c>
      <c r="HN6" t="s">
        <v>1881</v>
      </c>
      <c r="HO6" s="2">
        <v>-77000</v>
      </c>
      <c r="HP6" t="s">
        <v>2200</v>
      </c>
      <c r="HQ6">
        <v>215.57</v>
      </c>
      <c r="HR6" s="351" t="s">
        <v>1002</v>
      </c>
      <c r="HS6">
        <v>1900.09</v>
      </c>
      <c r="HT6" s="395" t="s">
        <v>2173</v>
      </c>
      <c r="HU6" s="396">
        <f>HO6+HT7</f>
        <v>-70000</v>
      </c>
      <c r="HV6" t="s">
        <v>2223</v>
      </c>
      <c r="HW6" s="52">
        <v>679999</v>
      </c>
      <c r="HX6" t="s">
        <v>1203</v>
      </c>
      <c r="HY6" s="286">
        <f>HY2-HY7</f>
        <v>0.61000000010244548</v>
      </c>
      <c r="HZ6" t="s">
        <v>2291</v>
      </c>
      <c r="IA6" s="203">
        <v>0</v>
      </c>
      <c r="IB6" t="s">
        <v>2271</v>
      </c>
      <c r="IC6" s="406">
        <v>17.8</v>
      </c>
      <c r="ID6" t="s">
        <v>352</v>
      </c>
      <c r="IE6" s="273">
        <f>SUM(IE7:IE59)</f>
        <v>59937.460000000006</v>
      </c>
      <c r="IF6" s="320" t="s">
        <v>1631</v>
      </c>
      <c r="IG6" s="380">
        <v>0.08</v>
      </c>
      <c r="IH6" t="s">
        <v>2380</v>
      </c>
      <c r="II6" s="405">
        <v>150</v>
      </c>
      <c r="IJ6" t="s">
        <v>352</v>
      </c>
      <c r="IK6" s="273">
        <f>SUM(IK7:IK61)</f>
        <v>13099.409999999998</v>
      </c>
      <c r="IL6" t="s">
        <v>2364</v>
      </c>
      <c r="IM6" s="268">
        <v>235000</v>
      </c>
      <c r="IO6" s="405"/>
      <c r="IP6" s="351" t="s">
        <v>2398</v>
      </c>
      <c r="IQ6" s="61">
        <v>26</v>
      </c>
      <c r="IR6" t="s">
        <v>2364</v>
      </c>
      <c r="IS6" s="268">
        <v>305005</v>
      </c>
      <c r="IT6" s="460" t="s">
        <v>2576</v>
      </c>
      <c r="IU6" s="405">
        <v>-30</v>
      </c>
      <c r="IV6" s="460" t="s">
        <v>352</v>
      </c>
      <c r="IW6" s="273">
        <f>SUM(IW7:IW40)</f>
        <v>11439.500000000004</v>
      </c>
      <c r="IX6" s="496" t="s">
        <v>2515</v>
      </c>
      <c r="IY6" s="497">
        <v>0.13300000000000001</v>
      </c>
      <c r="IZ6" s="502" t="s">
        <v>2511</v>
      </c>
      <c r="JA6" s="405">
        <f>-1300</f>
        <v>-1300</v>
      </c>
      <c r="JB6" s="502" t="s">
        <v>352</v>
      </c>
      <c r="JC6" s="273">
        <f>SUM(JC7:JC49)</f>
        <v>11142.751999999997</v>
      </c>
      <c r="JD6" s="594" t="s">
        <v>2672</v>
      </c>
      <c r="JE6" s="268">
        <f>-140000-71000</f>
        <v>-211000</v>
      </c>
      <c r="JF6" s="545" t="s">
        <v>2511</v>
      </c>
      <c r="JG6" s="405">
        <v>-1401</v>
      </c>
      <c r="JH6" s="192" t="s">
        <v>2619</v>
      </c>
      <c r="JI6" s="470">
        <v>2000.06</v>
      </c>
      <c r="JJ6" s="594" t="s">
        <v>2672</v>
      </c>
      <c r="JK6" s="268">
        <v>-71000</v>
      </c>
      <c r="JM6" s="405"/>
      <c r="JN6" s="192" t="s">
        <v>2663</v>
      </c>
      <c r="JO6" s="470">
        <v>1000.07</v>
      </c>
      <c r="JP6" s="689" t="s">
        <v>2816</v>
      </c>
      <c r="JQ6" s="399"/>
      <c r="JR6" s="614" t="s">
        <v>2562</v>
      </c>
      <c r="JS6" s="451" t="s">
        <v>2710</v>
      </c>
      <c r="JT6" s="668" t="s">
        <v>2801</v>
      </c>
      <c r="JU6" s="690">
        <v>2000</v>
      </c>
      <c r="JV6" s="620" t="s">
        <v>2574</v>
      </c>
      <c r="JW6" s="268">
        <v>-4000</v>
      </c>
      <c r="JX6" s="695" t="s">
        <v>2511</v>
      </c>
      <c r="JY6" s="405">
        <v>-1800</v>
      </c>
      <c r="JZ6" s="668" t="s">
        <v>2792</v>
      </c>
      <c r="KA6" s="61">
        <v>1000.08</v>
      </c>
      <c r="KB6" s="707" t="s">
        <v>2575</v>
      </c>
      <c r="KC6" s="399">
        <v>-82000</v>
      </c>
      <c r="KE6" s="405"/>
      <c r="KF6" s="668" t="s">
        <v>1002</v>
      </c>
      <c r="KG6" s="470">
        <v>1900.09</v>
      </c>
      <c r="KH6" s="205" t="s">
        <v>2884</v>
      </c>
      <c r="KI6" s="399">
        <v>150000</v>
      </c>
      <c r="KJ6" s="740" t="s">
        <v>2915</v>
      </c>
      <c r="KK6" s="405">
        <v>-5.01</v>
      </c>
      <c r="KL6" s="770" t="s">
        <v>1002</v>
      </c>
      <c r="KM6" s="763">
        <v>1900.1</v>
      </c>
      <c r="KN6" s="781">
        <v>150000</v>
      </c>
      <c r="KO6" s="782">
        <v>45356</v>
      </c>
      <c r="KP6" s="815" t="s">
        <v>3050</v>
      </c>
      <c r="KQ6" s="405">
        <v>3010</v>
      </c>
      <c r="KR6" s="770" t="s">
        <v>3053</v>
      </c>
      <c r="KS6" s="763">
        <v>2000</v>
      </c>
      <c r="KT6" s="781">
        <v>150000</v>
      </c>
      <c r="KU6" s="782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66" t="s">
        <v>1930</v>
      </c>
      <c r="FQ7" s="286">
        <f>SUM(FQ13:FQ14)</f>
        <v>11000</v>
      </c>
      <c r="FR7" s="66" t="s">
        <v>1527</v>
      </c>
      <c r="FS7">
        <v>1240</v>
      </c>
      <c r="FT7" t="s">
        <v>1912</v>
      </c>
      <c r="FU7" s="242"/>
      <c r="FV7" s="366" t="s">
        <v>1930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1929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1929</v>
      </c>
      <c r="GI7" s="286">
        <f>SUM(GI13:GI14)</f>
        <v>3800.0299999999997</v>
      </c>
      <c r="GJ7" s="1" t="s">
        <v>1630</v>
      </c>
      <c r="GK7" s="142">
        <v>-958</v>
      </c>
      <c r="GL7" t="s">
        <v>1963</v>
      </c>
      <c r="GN7" s="352" t="s">
        <v>1929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1929</v>
      </c>
      <c r="GU7" s="286">
        <f>SUM(GU13:GU15)</f>
        <v>4635.2400000000007</v>
      </c>
      <c r="GV7" s="1" t="s">
        <v>1630</v>
      </c>
      <c r="GW7" s="142">
        <v>-1226</v>
      </c>
      <c r="GZ7" s="366" t="s">
        <v>1930</v>
      </c>
      <c r="HA7" s="286">
        <f>SUM(HA13:HA13)</f>
        <v>2104.9333333333334</v>
      </c>
      <c r="HB7" t="s">
        <v>1881</v>
      </c>
      <c r="HC7" s="2">
        <v>-82000</v>
      </c>
      <c r="HF7" s="352" t="s">
        <v>1929</v>
      </c>
      <c r="HG7" s="286">
        <f>SUM(HG13:HG13)</f>
        <v>1900.07</v>
      </c>
      <c r="HH7" s="1" t="s">
        <v>1630</v>
      </c>
      <c r="HI7" s="142">
        <v>-1696</v>
      </c>
      <c r="HJ7" t="s">
        <v>2169</v>
      </c>
      <c r="HK7">
        <v>30.001000000000001</v>
      </c>
      <c r="HL7" s="351" t="s">
        <v>1002</v>
      </c>
      <c r="HM7">
        <v>1900.08</v>
      </c>
      <c r="HN7" t="s">
        <v>2138</v>
      </c>
      <c r="HO7" s="2"/>
      <c r="HQ7" s="242"/>
      <c r="HR7" s="346" t="s">
        <v>1987</v>
      </c>
      <c r="HS7">
        <v>1059.3</v>
      </c>
      <c r="HT7" s="397">
        <v>7000</v>
      </c>
      <c r="HU7" s="398" t="s">
        <v>2174</v>
      </c>
      <c r="HV7" t="s">
        <v>2129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06">
        <v>24.9</v>
      </c>
      <c r="ID7" s="351" t="s">
        <v>1002</v>
      </c>
      <c r="IE7">
        <v>1900.11</v>
      </c>
      <c r="IF7" s="6" t="s">
        <v>2289</v>
      </c>
      <c r="IG7" s="359">
        <v>-8</v>
      </c>
      <c r="IH7" t="s">
        <v>2415</v>
      </c>
      <c r="II7" s="405">
        <v>2.27</v>
      </c>
      <c r="IJ7" s="351" t="s">
        <v>2343</v>
      </c>
      <c r="IK7">
        <v>15</v>
      </c>
      <c r="IL7" s="1" t="s">
        <v>1630</v>
      </c>
      <c r="IM7" s="142">
        <v>-2488</v>
      </c>
      <c r="IN7" t="s">
        <v>2442</v>
      </c>
      <c r="IO7" s="405"/>
      <c r="IP7" s="351" t="s">
        <v>2433</v>
      </c>
      <c r="IQ7" s="61">
        <v>17</v>
      </c>
      <c r="IR7" s="320" t="s">
        <v>2406</v>
      </c>
      <c r="IS7" s="471">
        <v>0</v>
      </c>
      <c r="IT7" s="460" t="s">
        <v>2504</v>
      </c>
      <c r="IU7" s="405">
        <v>100</v>
      </c>
      <c r="IV7" s="351" t="s">
        <v>2398</v>
      </c>
      <c r="IW7" s="61">
        <v>11</v>
      </c>
      <c r="IX7" s="541" t="s">
        <v>2575</v>
      </c>
      <c r="IY7" s="272">
        <v>-75000</v>
      </c>
      <c r="IZ7" s="537" t="s">
        <v>2576</v>
      </c>
      <c r="JA7" s="405">
        <v>-30</v>
      </c>
      <c r="JB7" s="192" t="s">
        <v>1002</v>
      </c>
      <c r="JC7" s="61">
        <v>1900.03</v>
      </c>
      <c r="JD7" s="505" t="s">
        <v>2575</v>
      </c>
      <c r="JE7" s="272">
        <v>-75000</v>
      </c>
      <c r="JG7" s="405"/>
      <c r="JH7" s="192" t="s">
        <v>1002</v>
      </c>
      <c r="JI7" s="61">
        <v>1900.04</v>
      </c>
      <c r="JJ7" s="548" t="s">
        <v>2575</v>
      </c>
      <c r="JK7" s="272">
        <v>-75000</v>
      </c>
      <c r="JL7" s="577" t="s">
        <v>2442</v>
      </c>
      <c r="JM7" s="405"/>
      <c r="JN7" s="192" t="s">
        <v>1002</v>
      </c>
      <c r="JO7" s="61">
        <v>1900.05</v>
      </c>
      <c r="JP7" s="584" t="s">
        <v>2574</v>
      </c>
      <c r="JQ7" s="268">
        <v>-4000</v>
      </c>
      <c r="JR7" s="632" t="s">
        <v>2738</v>
      </c>
      <c r="JS7" s="451">
        <v>236.43</v>
      </c>
      <c r="JT7" s="668" t="s">
        <v>1002</v>
      </c>
      <c r="JU7" s="470">
        <v>1900.06</v>
      </c>
      <c r="JV7" s="614" t="s">
        <v>2685</v>
      </c>
      <c r="JW7" s="268">
        <v>585077</v>
      </c>
      <c r="JX7" s="697"/>
      <c r="JY7" s="405"/>
      <c r="JZ7" s="668" t="s">
        <v>1002</v>
      </c>
      <c r="KA7" s="470">
        <f>1900.07</f>
        <v>1900.07</v>
      </c>
      <c r="KB7" s="708" t="s">
        <v>2574</v>
      </c>
      <c r="KC7" s="268">
        <v>-4000</v>
      </c>
      <c r="KD7" s="700" t="s">
        <v>2869</v>
      </c>
      <c r="KE7" s="752">
        <f>ABS(KC3+KC4)</f>
        <v>211000</v>
      </c>
      <c r="KF7" s="346" t="s">
        <v>2875</v>
      </c>
      <c r="KG7" s="700">
        <v>10.25</v>
      </c>
      <c r="KH7" s="754" t="s">
        <v>2908</v>
      </c>
      <c r="KI7" s="268">
        <v>-70600</v>
      </c>
      <c r="KJ7" s="764" t="s">
        <v>2997</v>
      </c>
      <c r="KK7" s="405">
        <v>-1800</v>
      </c>
      <c r="KL7" s="346" t="s">
        <v>2936</v>
      </c>
      <c r="KM7" s="740">
        <v>1112.4000000000001</v>
      </c>
      <c r="KN7" s="781">
        <v>20000</v>
      </c>
      <c r="KO7" s="782">
        <v>45370</v>
      </c>
      <c r="KQ7" s="405"/>
      <c r="KR7" s="770" t="s">
        <v>1002</v>
      </c>
      <c r="KS7" s="763"/>
      <c r="KT7" s="781">
        <v>20000</v>
      </c>
      <c r="KU7" s="782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2028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1905</v>
      </c>
      <c r="FU8">
        <v>148</v>
      </c>
      <c r="FV8" s="348" t="s">
        <v>1685</v>
      </c>
      <c r="FW8">
        <f>SUM(FW18:FW25)</f>
        <v>363.97</v>
      </c>
      <c r="FX8" s="6" t="s">
        <v>1875</v>
      </c>
      <c r="FY8">
        <v>-52</v>
      </c>
      <c r="GA8" s="242"/>
      <c r="GB8" s="366" t="s">
        <v>1930</v>
      </c>
      <c r="GC8" s="286">
        <f>SUM(GC15)</f>
        <v>63477.54</v>
      </c>
      <c r="GD8" s="6" t="s">
        <v>1875</v>
      </c>
      <c r="GE8" s="359">
        <v>30</v>
      </c>
      <c r="GF8" t="s">
        <v>1950</v>
      </c>
      <c r="GG8" s="242">
        <v>30</v>
      </c>
      <c r="GH8" s="366" t="s">
        <v>1930</v>
      </c>
      <c r="GI8" s="286">
        <f>SUM(GI15)</f>
        <v>0</v>
      </c>
      <c r="GJ8" s="6" t="s">
        <v>1954</v>
      </c>
      <c r="GK8" s="359">
        <v>300</v>
      </c>
      <c r="GN8" s="366" t="s">
        <v>1930</v>
      </c>
      <c r="GO8" s="286">
        <f>SUM(GO14)</f>
        <v>0</v>
      </c>
      <c r="GP8" s="6" t="s">
        <v>1954</v>
      </c>
      <c r="GQ8" s="359">
        <v>29.05</v>
      </c>
      <c r="GR8" t="s">
        <v>2064</v>
      </c>
      <c r="GS8">
        <v>4000</v>
      </c>
      <c r="GT8" s="366" t="s">
        <v>1930</v>
      </c>
      <c r="GU8" s="286">
        <f>SUM(GU16:GU17)</f>
        <v>84255</v>
      </c>
      <c r="GV8" s="6" t="s">
        <v>1954</v>
      </c>
      <c r="GW8" s="359">
        <v>29.05</v>
      </c>
      <c r="GX8" s="60" t="s">
        <v>1580</v>
      </c>
      <c r="GZ8" s="348" t="s">
        <v>1685</v>
      </c>
      <c r="HA8" s="383">
        <f>SUM(HA18:HA24)</f>
        <v>880.40666666666687</v>
      </c>
      <c r="HB8" s="1" t="s">
        <v>1630</v>
      </c>
      <c r="HC8" s="142">
        <v>-898</v>
      </c>
      <c r="HD8" s="60" t="s">
        <v>1580</v>
      </c>
      <c r="HF8" s="366" t="s">
        <v>1930</v>
      </c>
      <c r="HG8" s="286">
        <f>SUM(HG14:HG16)</f>
        <v>3184.9333333333334</v>
      </c>
      <c r="HH8" s="6" t="s">
        <v>1954</v>
      </c>
      <c r="HI8" s="359">
        <v>38</v>
      </c>
      <c r="HJ8" t="s">
        <v>1608</v>
      </c>
      <c r="HL8" s="245" t="s">
        <v>2140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2192</v>
      </c>
      <c r="HS8">
        <v>807.85</v>
      </c>
      <c r="HT8" s="1" t="s">
        <v>1630</v>
      </c>
      <c r="HU8" s="142">
        <v>-1653</v>
      </c>
      <c r="HV8" t="s">
        <v>2210</v>
      </c>
      <c r="HW8" s="52">
        <v>2.1</v>
      </c>
      <c r="HX8" s="351" t="s">
        <v>1002</v>
      </c>
      <c r="HY8">
        <v>1900.1</v>
      </c>
      <c r="HZ8" s="6" t="s">
        <v>1954</v>
      </c>
      <c r="IA8" s="359">
        <v>0</v>
      </c>
      <c r="IB8" t="s">
        <v>2272</v>
      </c>
      <c r="IC8" s="405"/>
      <c r="ID8" s="367" t="s">
        <v>2258</v>
      </c>
      <c r="IE8">
        <v>5.73</v>
      </c>
      <c r="IF8" s="6" t="s">
        <v>1838</v>
      </c>
      <c r="IG8" s="409">
        <v>2499</v>
      </c>
      <c r="II8" s="405"/>
      <c r="IJ8" s="351" t="s">
        <v>1002</v>
      </c>
      <c r="IK8">
        <v>1900.12</v>
      </c>
      <c r="IL8" s="6" t="s">
        <v>1875</v>
      </c>
      <c r="IM8" s="359">
        <v>0</v>
      </c>
      <c r="IN8" t="s">
        <v>2420</v>
      </c>
      <c r="IO8" s="405">
        <v>36.42</v>
      </c>
      <c r="IP8" s="351" t="s">
        <v>1002</v>
      </c>
      <c r="IQ8" s="61">
        <v>1900.01</v>
      </c>
      <c r="IR8" s="1" t="s">
        <v>1630</v>
      </c>
      <c r="IS8" s="470">
        <v>-3061</v>
      </c>
      <c r="IT8" s="491" t="s">
        <v>2502</v>
      </c>
      <c r="IU8" s="405">
        <f>10582.19+14077.74-24508</f>
        <v>151.93000000000029</v>
      </c>
      <c r="IV8" s="351" t="s">
        <v>1002</v>
      </c>
      <c r="IW8" s="61">
        <v>1900.02</v>
      </c>
      <c r="IX8" s="542" t="s">
        <v>2574</v>
      </c>
      <c r="IY8" s="268">
        <v>-4000</v>
      </c>
      <c r="IZ8" s="551"/>
      <c r="JA8" s="405"/>
      <c r="JB8" s="367" t="s">
        <v>2583</v>
      </c>
      <c r="JC8" s="61">
        <v>300.27999999999997</v>
      </c>
      <c r="JD8" s="506" t="s">
        <v>2574</v>
      </c>
      <c r="JE8" s="268">
        <v>-4000</v>
      </c>
      <c r="JF8" s="545" t="s">
        <v>2442</v>
      </c>
      <c r="JG8" s="405"/>
      <c r="JH8" s="367" t="s">
        <v>2634</v>
      </c>
      <c r="JI8" s="61">
        <v>327.74</v>
      </c>
      <c r="JJ8" s="549" t="s">
        <v>2574</v>
      </c>
      <c r="JK8" s="268">
        <v>-4000</v>
      </c>
      <c r="JL8" s="495" t="s">
        <v>2652</v>
      </c>
      <c r="JM8" s="577">
        <v>2.5</v>
      </c>
      <c r="JN8" s="367" t="s">
        <v>2688</v>
      </c>
      <c r="JO8" s="61">
        <v>48.69</v>
      </c>
      <c r="JP8" s="254" t="s">
        <v>2513</v>
      </c>
      <c r="JQ8" s="2">
        <f>100*(330+310)</f>
        <v>64000</v>
      </c>
      <c r="JR8" s="614" t="s">
        <v>2442</v>
      </c>
      <c r="JS8" s="405"/>
      <c r="JT8" s="367" t="s">
        <v>2077</v>
      </c>
      <c r="JU8" s="61">
        <v>1476</v>
      </c>
      <c r="JV8" s="320" t="s">
        <v>2406</v>
      </c>
      <c r="JW8" s="359">
        <v>61</v>
      </c>
      <c r="JX8" s="649" t="s">
        <v>2829</v>
      </c>
      <c r="JY8" s="451">
        <v>60</v>
      </c>
      <c r="JZ8" s="668" t="s">
        <v>1002</v>
      </c>
      <c r="KA8" s="703">
        <v>1900.08</v>
      </c>
      <c r="KB8" s="703" t="s">
        <v>2685</v>
      </c>
      <c r="KC8" s="268">
        <v>640008</v>
      </c>
      <c r="KD8" s="700" t="s">
        <v>2868</v>
      </c>
      <c r="KE8" s="407"/>
      <c r="KF8" s="245" t="s">
        <v>2873</v>
      </c>
      <c r="KG8" s="399">
        <v>2000</v>
      </c>
      <c r="KH8" s="740" t="s">
        <v>2909</v>
      </c>
      <c r="KI8" s="268">
        <f>-135000</f>
        <v>-135000</v>
      </c>
      <c r="KJ8" s="758" t="s">
        <v>2996</v>
      </c>
      <c r="KK8" s="405">
        <v>-1800.01</v>
      </c>
      <c r="KL8" s="346" t="s">
        <v>2963</v>
      </c>
      <c r="KM8" s="61">
        <v>9.4499999999999993</v>
      </c>
      <c r="KN8" s="781">
        <v>20000</v>
      </c>
      <c r="KO8" s="782">
        <v>45384</v>
      </c>
      <c r="KP8" s="789" t="s">
        <v>2831</v>
      </c>
      <c r="KQ8" s="427"/>
      <c r="KR8" s="771" t="s">
        <v>3014</v>
      </c>
      <c r="KS8" s="61"/>
      <c r="KT8" s="781">
        <v>20000</v>
      </c>
      <c r="KU8" s="782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1904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1927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1963</v>
      </c>
      <c r="GH9" s="348" t="s">
        <v>1685</v>
      </c>
      <c r="GI9">
        <f>SUM(GI19:GI28)</f>
        <v>548.71</v>
      </c>
      <c r="GJ9" s="6" t="s">
        <v>1875</v>
      </c>
      <c r="GK9" s="359">
        <v>30</v>
      </c>
      <c r="GL9" t="s">
        <v>2034</v>
      </c>
      <c r="GM9">
        <v>1000.01</v>
      </c>
      <c r="GN9" s="348" t="s">
        <v>1685</v>
      </c>
      <c r="GO9">
        <f>SUM(GO20:GO28)</f>
        <v>454.79999999999995</v>
      </c>
      <c r="GP9" s="6" t="s">
        <v>1875</v>
      </c>
      <c r="GQ9" s="359">
        <v>30</v>
      </c>
      <c r="GT9" s="348" t="s">
        <v>1685</v>
      </c>
      <c r="GU9">
        <f>SUM(GU18:GU25)</f>
        <v>427.03000000000003</v>
      </c>
      <c r="GV9" s="6" t="s">
        <v>1875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1954</v>
      </c>
      <c r="HC9" s="359">
        <v>38</v>
      </c>
      <c r="HD9" t="s">
        <v>2110</v>
      </c>
      <c r="HE9">
        <f>63.92+6.4</f>
        <v>70.320000000000007</v>
      </c>
      <c r="HF9" s="348" t="s">
        <v>1685</v>
      </c>
      <c r="HG9" s="383">
        <f>SUM(HG20:HG27)</f>
        <v>957.34666666666681</v>
      </c>
      <c r="HH9" s="6" t="s">
        <v>1875</v>
      </c>
      <c r="HI9" s="359">
        <v>30</v>
      </c>
      <c r="HJ9" s="253" t="s">
        <v>2182</v>
      </c>
      <c r="HK9">
        <f>86</f>
        <v>86</v>
      </c>
      <c r="HL9" s="245" t="s">
        <v>2041</v>
      </c>
      <c r="HM9" s="383">
        <f>HM10*5</f>
        <v>2104.9333333333334</v>
      </c>
      <c r="HN9" s="6" t="s">
        <v>1954</v>
      </c>
      <c r="HO9" s="359">
        <v>0</v>
      </c>
      <c r="HP9" s="253" t="s">
        <v>2183</v>
      </c>
      <c r="HQ9">
        <v>75.06</v>
      </c>
      <c r="HR9" s="245" t="s">
        <v>2202</v>
      </c>
      <c r="HS9">
        <v>100</v>
      </c>
      <c r="HT9" s="6" t="s">
        <v>1954</v>
      </c>
      <c r="HU9" s="359">
        <v>0</v>
      </c>
      <c r="HV9" t="s">
        <v>2226</v>
      </c>
      <c r="HW9" s="52">
        <v>2.0299999999999998</v>
      </c>
      <c r="HX9" s="346" t="s">
        <v>2287</v>
      </c>
      <c r="HY9">
        <v>535</v>
      </c>
      <c r="HZ9" s="6" t="s">
        <v>1875</v>
      </c>
      <c r="IA9" s="359">
        <v>14.67</v>
      </c>
      <c r="IB9" t="s">
        <v>2129</v>
      </c>
      <c r="IC9" s="405">
        <v>50</v>
      </c>
      <c r="ID9" s="346" t="s">
        <v>2288</v>
      </c>
      <c r="IE9">
        <v>32.1</v>
      </c>
      <c r="IF9" s="66" t="s">
        <v>1505</v>
      </c>
      <c r="IG9" s="2">
        <v>817</v>
      </c>
      <c r="IH9" t="s">
        <v>2355</v>
      </c>
      <c r="IJ9" s="429" t="s">
        <v>2331</v>
      </c>
      <c r="IK9" s="344">
        <f>6+5+3+10+7</f>
        <v>31</v>
      </c>
      <c r="IL9" s="320" t="s">
        <v>1631</v>
      </c>
      <c r="IM9" s="380">
        <v>0.08</v>
      </c>
      <c r="IN9" t="s">
        <v>2443</v>
      </c>
      <c r="IO9">
        <f>9.9+76.9</f>
        <v>86.800000000000011</v>
      </c>
      <c r="IP9" s="351" t="s">
        <v>2428</v>
      </c>
      <c r="IQ9" s="61">
        <v>2000</v>
      </c>
      <c r="IR9" s="6" t="s">
        <v>2441</v>
      </c>
      <c r="IS9" s="359">
        <v>116</v>
      </c>
      <c r="IU9" s="405"/>
      <c r="IV9" s="351" t="s">
        <v>2501</v>
      </c>
      <c r="IW9" s="61">
        <v>2000</v>
      </c>
      <c r="IX9" s="254" t="s">
        <v>2513</v>
      </c>
      <c r="IY9" s="2">
        <f>100*(120+1000+330+310)</f>
        <v>176000</v>
      </c>
      <c r="IZ9" s="544" t="s">
        <v>2593</v>
      </c>
      <c r="JA9" s="405">
        <f>544.23-533.02</f>
        <v>11.210000000000036</v>
      </c>
      <c r="JB9" s="367" t="s">
        <v>2603</v>
      </c>
      <c r="JC9" s="61">
        <v>600</v>
      </c>
      <c r="JD9" s="254" t="s">
        <v>2513</v>
      </c>
      <c r="JE9" s="2">
        <f>100*(120+1000+330+310)</f>
        <v>176000</v>
      </c>
      <c r="JF9" s="495" t="s">
        <v>2649</v>
      </c>
      <c r="JH9" s="346" t="s">
        <v>2936</v>
      </c>
      <c r="JI9" s="61">
        <v>1954.8</v>
      </c>
      <c r="JJ9" s="254" t="s">
        <v>2513</v>
      </c>
      <c r="JK9" s="2">
        <f>100*(120+1000+330+310)</f>
        <v>176000</v>
      </c>
      <c r="JL9" s="577" t="s">
        <v>2691</v>
      </c>
      <c r="JM9" s="577">
        <v>4.09</v>
      </c>
      <c r="JN9" s="367" t="s">
        <v>2654</v>
      </c>
      <c r="JO9" s="61">
        <v>127.14</v>
      </c>
      <c r="JP9" s="577" t="s">
        <v>2685</v>
      </c>
      <c r="JQ9" s="268">
        <v>515008</v>
      </c>
      <c r="JR9" s="495" t="s">
        <v>2723</v>
      </c>
      <c r="JS9" s="614">
        <v>2.33</v>
      </c>
      <c r="JT9" s="346" t="s">
        <v>2756</v>
      </c>
      <c r="JU9" s="61">
        <v>10</v>
      </c>
      <c r="JV9" s="205" t="s">
        <v>2716</v>
      </c>
      <c r="JW9" s="84">
        <v>0</v>
      </c>
      <c r="JY9" s="407"/>
      <c r="JZ9" s="668" t="s">
        <v>2848</v>
      </c>
      <c r="KA9" s="61">
        <f>27+270.45+2700</f>
        <v>2997.45</v>
      </c>
      <c r="KB9" s="320" t="s">
        <v>2406</v>
      </c>
      <c r="KC9" s="380">
        <v>0</v>
      </c>
      <c r="KD9" s="740"/>
      <c r="KE9" s="407"/>
      <c r="KF9" s="245" t="s">
        <v>2851</v>
      </c>
      <c r="KG9" s="405">
        <v>64875.360000000001</v>
      </c>
      <c r="KH9" s="754" t="s">
        <v>2905</v>
      </c>
      <c r="KI9" s="405">
        <v>4053</v>
      </c>
      <c r="KJ9" s="757" t="s">
        <v>2955</v>
      </c>
      <c r="KK9" s="590">
        <v>1.77</v>
      </c>
      <c r="KL9" s="346" t="s">
        <v>2954</v>
      </c>
      <c r="KM9" s="740">
        <v>79.72</v>
      </c>
      <c r="KN9" s="643" t="s">
        <v>3004</v>
      </c>
      <c r="KO9" s="785">
        <f>SUM(KN5:KN8)</f>
        <v>197000</v>
      </c>
      <c r="KP9" s="789" t="s">
        <v>2843</v>
      </c>
      <c r="KQ9" s="590">
        <f>72.67+1.57</f>
        <v>74.239999999999995</v>
      </c>
      <c r="KR9" s="346" t="s">
        <v>2936</v>
      </c>
      <c r="KS9" s="61">
        <v>874.8</v>
      </c>
      <c r="KT9" s="781">
        <v>30000</v>
      </c>
      <c r="KU9" s="782">
        <v>45398</v>
      </c>
      <c r="KV9" s="811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1888</v>
      </c>
      <c r="FY10">
        <v>2498</v>
      </c>
      <c r="FZ10" s="342" t="s">
        <v>1928</v>
      </c>
      <c r="GA10">
        <v>100</v>
      </c>
      <c r="GB10" s="349" t="s">
        <v>1684</v>
      </c>
      <c r="GC10">
        <f>SUM(GC28:GC32)</f>
        <v>183.9</v>
      </c>
      <c r="GD10" s="6" t="s">
        <v>1888</v>
      </c>
      <c r="GE10">
        <v>2498</v>
      </c>
      <c r="GF10" t="s">
        <v>1962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1963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2065</v>
      </c>
      <c r="GY10">
        <v>50</v>
      </c>
      <c r="GZ10" s="347" t="s">
        <v>1682</v>
      </c>
      <c r="HA10">
        <f>SUM(HA15:HA17)</f>
        <v>2381.65</v>
      </c>
      <c r="HB10" s="6" t="s">
        <v>1875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380">
        <v>0.06</v>
      </c>
      <c r="HJ10" t="s">
        <v>1799</v>
      </c>
      <c r="HK10" s="203">
        <v>13</v>
      </c>
      <c r="HL10" s="345" t="s">
        <v>2040</v>
      </c>
      <c r="HM10" s="383">
        <f>2525.92/6</f>
        <v>420.98666666666668</v>
      </c>
      <c r="HN10" s="6" t="s">
        <v>1875</v>
      </c>
      <c r="HO10" s="359">
        <v>16</v>
      </c>
      <c r="HQ10" s="203"/>
      <c r="HR10" s="245" t="s">
        <v>2205</v>
      </c>
      <c r="HS10">
        <v>156.5</v>
      </c>
      <c r="HT10" s="6" t="s">
        <v>1875</v>
      </c>
      <c r="HU10" s="359">
        <v>14.67</v>
      </c>
      <c r="HW10" s="242"/>
      <c r="HX10" s="245" t="s">
        <v>2202</v>
      </c>
      <c r="HY10">
        <v>100</v>
      </c>
      <c r="HZ10" s="320" t="s">
        <v>1631</v>
      </c>
      <c r="IA10" s="380">
        <v>7.0000000000000007E-2</v>
      </c>
      <c r="IB10" t="s">
        <v>1799</v>
      </c>
      <c r="IC10" s="406">
        <v>13.54</v>
      </c>
      <c r="ID10" s="245" t="s">
        <v>2281</v>
      </c>
      <c r="IE10" s="2">
        <f>11000+300</f>
        <v>11300</v>
      </c>
      <c r="IF10" s="66" t="s">
        <v>1506</v>
      </c>
      <c r="IG10" s="2">
        <v>1463</v>
      </c>
      <c r="IH10" t="s">
        <v>2323</v>
      </c>
      <c r="II10">
        <v>10</v>
      </c>
      <c r="IJ10" s="367" t="s">
        <v>2362</v>
      </c>
      <c r="IK10" s="344">
        <v>3179</v>
      </c>
      <c r="IL10" s="6" t="s">
        <v>2289</v>
      </c>
      <c r="IM10" s="359">
        <v>35</v>
      </c>
      <c r="IN10" s="9" t="s">
        <v>2448</v>
      </c>
      <c r="IO10" s="458">
        <v>46.26</v>
      </c>
      <c r="IP10" s="346" t="s">
        <v>2401</v>
      </c>
      <c r="IQ10" s="443">
        <v>210.89</v>
      </c>
      <c r="IR10" s="6" t="s">
        <v>1838</v>
      </c>
      <c r="IS10" s="430">
        <v>2500</v>
      </c>
      <c r="IT10" s="460" t="s">
        <v>2442</v>
      </c>
      <c r="IU10" s="405"/>
      <c r="IV10" s="367" t="s">
        <v>2571</v>
      </c>
      <c r="IW10" s="442">
        <v>2000</v>
      </c>
      <c r="IX10" s="460" t="s">
        <v>2364</v>
      </c>
      <c r="IY10" s="268">
        <v>360000</v>
      </c>
      <c r="JA10" s="405"/>
      <c r="JB10" s="367" t="s">
        <v>2604</v>
      </c>
      <c r="JC10" s="442">
        <v>454.04</v>
      </c>
      <c r="JD10" s="502" t="s">
        <v>2364</v>
      </c>
      <c r="JE10" s="268">
        <v>590000</v>
      </c>
      <c r="JH10" s="346" t="s">
        <v>1987</v>
      </c>
      <c r="JI10" s="61">
        <v>58.77</v>
      </c>
      <c r="JJ10" s="545" t="s">
        <v>2364</v>
      </c>
      <c r="JK10" s="359">
        <v>0</v>
      </c>
      <c r="JL10" s="577" t="s">
        <v>2356</v>
      </c>
      <c r="JM10" s="427"/>
      <c r="JN10" s="346" t="s">
        <v>2680</v>
      </c>
      <c r="JO10" s="61">
        <f>259.2+410.4</f>
        <v>669.59999999999991</v>
      </c>
      <c r="JP10" s="320" t="s">
        <v>2406</v>
      </c>
      <c r="JQ10" s="359">
        <v>31</v>
      </c>
      <c r="JR10" s="495" t="s">
        <v>2735</v>
      </c>
      <c r="JS10" s="632">
        <v>3.4</v>
      </c>
      <c r="JT10" s="346" t="s">
        <v>2746</v>
      </c>
      <c r="JU10" s="443">
        <v>5.38</v>
      </c>
      <c r="JV10" s="630" t="s">
        <v>1630</v>
      </c>
      <c r="JW10" s="399">
        <v>-123</v>
      </c>
      <c r="JX10" s="649" t="s">
        <v>2831</v>
      </c>
      <c r="JY10" s="427"/>
      <c r="JZ10" s="367" t="s">
        <v>2858</v>
      </c>
      <c r="KA10" s="61">
        <v>5.99</v>
      </c>
      <c r="KB10" s="205" t="s">
        <v>2823</v>
      </c>
      <c r="KC10" s="359">
        <v>-166</v>
      </c>
      <c r="KD10" s="700" t="s">
        <v>2831</v>
      </c>
      <c r="KE10" s="427"/>
      <c r="KF10" s="245" t="s">
        <v>2850</v>
      </c>
      <c r="KG10" s="405">
        <f>136363-KG12</f>
        <v>136169.60999999999</v>
      </c>
      <c r="KH10" s="756" t="s">
        <v>2913</v>
      </c>
      <c r="KI10" s="405"/>
      <c r="KJ10" s="760"/>
      <c r="KK10" s="405"/>
      <c r="KL10" s="263" t="s">
        <v>3018</v>
      </c>
      <c r="KM10" s="740">
        <f>82.58+102.97</f>
        <v>185.55</v>
      </c>
      <c r="KN10" s="778" t="s">
        <v>2908</v>
      </c>
      <c r="KO10" s="268">
        <v>-70600</v>
      </c>
      <c r="KP10" s="819" t="s">
        <v>3048</v>
      </c>
      <c r="KQ10" s="590">
        <v>35.14</v>
      </c>
      <c r="KR10" s="346" t="s">
        <v>2936</v>
      </c>
      <c r="KS10" s="61">
        <v>75.400000000000006</v>
      </c>
      <c r="KT10" s="781">
        <v>20000</v>
      </c>
      <c r="KU10" s="782">
        <v>45412</v>
      </c>
      <c r="KV10" s="811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1978</v>
      </c>
      <c r="GH11" s="347" t="s">
        <v>1682</v>
      </c>
      <c r="GI11">
        <f>SUM(GI18:GI18)</f>
        <v>3.87</v>
      </c>
      <c r="GJ11" s="6" t="s">
        <v>1888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1888</v>
      </c>
      <c r="GQ11">
        <v>2499</v>
      </c>
      <c r="GR11" t="s">
        <v>2042</v>
      </c>
      <c r="GS11">
        <v>260</v>
      </c>
      <c r="GT11" s="347" t="s">
        <v>1682</v>
      </c>
      <c r="GU11" t="s">
        <v>686</v>
      </c>
      <c r="GV11" s="6" t="s">
        <v>1888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2141</v>
      </c>
      <c r="HM11">
        <v>80.959999999999994</v>
      </c>
      <c r="HN11" s="1" t="s">
        <v>1631</v>
      </c>
      <c r="HO11" s="380">
        <v>0.06</v>
      </c>
      <c r="HR11" s="245" t="s">
        <v>2041</v>
      </c>
      <c r="HS11" s="383">
        <f>HS12*5</f>
        <v>2104.9333333333334</v>
      </c>
      <c r="HT11" s="320" t="s">
        <v>1631</v>
      </c>
      <c r="HU11" s="380">
        <v>7.0000000000000007E-2</v>
      </c>
      <c r="HV11" t="s">
        <v>1608</v>
      </c>
      <c r="HW11" s="52"/>
      <c r="HX11" s="245" t="s">
        <v>2231</v>
      </c>
      <c r="HY11">
        <f>1000+1000+1000</f>
        <v>3000</v>
      </c>
      <c r="HZ11" s="6" t="s">
        <v>2180</v>
      </c>
      <c r="IA11" s="359">
        <v>-10</v>
      </c>
      <c r="IB11" t="s">
        <v>2298</v>
      </c>
      <c r="IC11" s="406">
        <v>12.88</v>
      </c>
      <c r="ID11" s="424" t="s">
        <v>1983</v>
      </c>
      <c r="IE11" s="272">
        <v>3000</v>
      </c>
      <c r="IF11" s="66" t="s">
        <v>2236</v>
      </c>
      <c r="IG11" s="268">
        <v>5794</v>
      </c>
      <c r="IH11" t="s">
        <v>2359</v>
      </c>
      <c r="II11">
        <v>13.5</v>
      </c>
      <c r="IJ11" s="367" t="s">
        <v>2077</v>
      </c>
      <c r="IK11">
        <v>288.75</v>
      </c>
      <c r="IL11" s="6" t="s">
        <v>1838</v>
      </c>
      <c r="IM11" s="430">
        <v>2499</v>
      </c>
      <c r="IN11" s="9" t="s">
        <v>2449</v>
      </c>
      <c r="IO11" s="459">
        <v>10</v>
      </c>
      <c r="IP11" s="346" t="s">
        <v>2681</v>
      </c>
      <c r="IQ11" s="61">
        <f>406.6+487.92</f>
        <v>894.52</v>
      </c>
      <c r="IR11" s="66" t="s">
        <v>1505</v>
      </c>
      <c r="IS11" s="268">
        <v>364</v>
      </c>
      <c r="IT11" s="460" t="s">
        <v>2510</v>
      </c>
      <c r="IU11" s="405">
        <v>15.03</v>
      </c>
      <c r="IV11" s="367" t="s">
        <v>2505</v>
      </c>
      <c r="IW11" s="442">
        <v>135.25</v>
      </c>
      <c r="IX11" s="320" t="s">
        <v>2406</v>
      </c>
      <c r="IY11" s="471">
        <v>-49.87</v>
      </c>
      <c r="IZ11" s="502" t="s">
        <v>2442</v>
      </c>
      <c r="JA11" s="405"/>
      <c r="JB11" s="346" t="s">
        <v>2680</v>
      </c>
      <c r="JC11" s="61">
        <f>259.2+410.4</f>
        <v>669.59999999999991</v>
      </c>
      <c r="JD11" s="320" t="s">
        <v>2406</v>
      </c>
      <c r="JE11" s="471">
        <v>0</v>
      </c>
      <c r="JF11" s="545" t="s">
        <v>2356</v>
      </c>
      <c r="JG11" s="427"/>
      <c r="JH11" s="346" t="s">
        <v>2584</v>
      </c>
      <c r="JI11" s="61">
        <f>259.2+410.4</f>
        <v>669.59999999999991</v>
      </c>
      <c r="JJ11" s="320" t="s">
        <v>2406</v>
      </c>
      <c r="JK11" s="471">
        <v>-54</v>
      </c>
      <c r="JL11" s="577" t="s">
        <v>2129</v>
      </c>
      <c r="JM11" s="590">
        <v>52.000999999999998</v>
      </c>
      <c r="JN11" s="245" t="s">
        <v>2725</v>
      </c>
      <c r="JO11" s="405">
        <v>1396.9</v>
      </c>
      <c r="JP11" s="583" t="s">
        <v>1630</v>
      </c>
      <c r="JQ11" s="399">
        <v>-1063</v>
      </c>
      <c r="JR11" s="495" t="s">
        <v>2752</v>
      </c>
      <c r="JS11" s="405">
        <v>1.21</v>
      </c>
      <c r="JT11" s="245" t="s">
        <v>2725</v>
      </c>
      <c r="JU11" s="405">
        <v>1371.77</v>
      </c>
      <c r="JV11" s="617" t="s">
        <v>2673</v>
      </c>
      <c r="JW11" s="268">
        <v>2600</v>
      </c>
      <c r="JX11" s="649" t="s">
        <v>2819</v>
      </c>
      <c r="JY11" s="590">
        <f>55.87+0.96</f>
        <v>56.83</v>
      </c>
      <c r="JZ11" s="346" t="s">
        <v>2810</v>
      </c>
      <c r="KA11" s="649">
        <v>29.9</v>
      </c>
      <c r="KB11" s="707" t="s">
        <v>1630</v>
      </c>
      <c r="KC11" s="399">
        <v>-217</v>
      </c>
      <c r="KD11" s="716" t="s">
        <v>2853</v>
      </c>
      <c r="KE11" s="406">
        <f>1.5%*519+1.82</f>
        <v>9.6050000000000004</v>
      </c>
      <c r="KF11" s="345" t="s">
        <v>2906</v>
      </c>
      <c r="KG11" s="405">
        <v>281.16000000000003</v>
      </c>
      <c r="KH11" s="746" t="s">
        <v>2575</v>
      </c>
      <c r="KI11" s="399">
        <v>-82000</v>
      </c>
      <c r="KJ11" s="740" t="s">
        <v>2831</v>
      </c>
      <c r="KK11" s="427"/>
      <c r="KL11" s="263" t="s">
        <v>2976</v>
      </c>
      <c r="KM11" s="763">
        <f>165.2+34.2</f>
        <v>199.39999999999998</v>
      </c>
      <c r="KN11" s="754" t="s">
        <v>3009</v>
      </c>
      <c r="KO11" s="268">
        <v>-127017</v>
      </c>
      <c r="KP11" s="789" t="s">
        <v>1799</v>
      </c>
      <c r="KQ11" s="590"/>
      <c r="KR11" s="346" t="s">
        <v>3031</v>
      </c>
      <c r="KS11" s="789">
        <v>487</v>
      </c>
      <c r="KT11" s="643" t="s">
        <v>3004</v>
      </c>
      <c r="KU11" s="785">
        <f>SUM(KT5:KT10)</f>
        <v>247000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1892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2156</v>
      </c>
      <c r="HK12" s="242">
        <v>90</v>
      </c>
      <c r="HL12" s="345" t="s">
        <v>2142</v>
      </c>
      <c r="HM12">
        <v>197.9</v>
      </c>
      <c r="HN12" s="6" t="s">
        <v>1838</v>
      </c>
      <c r="HO12">
        <v>2499</v>
      </c>
      <c r="HQ12" s="242"/>
      <c r="HR12" s="345" t="s">
        <v>2040</v>
      </c>
      <c r="HS12" s="383">
        <f>2525.92/6</f>
        <v>420.98666666666668</v>
      </c>
      <c r="HT12" s="6" t="s">
        <v>2180</v>
      </c>
      <c r="HU12" s="359">
        <v>-808</v>
      </c>
      <c r="HV12" s="253" t="s">
        <v>2203</v>
      </c>
      <c r="HW12" s="52">
        <v>63.05</v>
      </c>
      <c r="HX12" s="245" t="s">
        <v>2216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2283</v>
      </c>
      <c r="IC12" s="406">
        <v>3.0009999999999999</v>
      </c>
      <c r="ID12" s="425" t="s">
        <v>2137</v>
      </c>
      <c r="IE12" s="272">
        <v>4000</v>
      </c>
      <c r="IF12" s="66" t="s">
        <v>1878</v>
      </c>
      <c r="IG12" s="2">
        <v>0</v>
      </c>
      <c r="IH12" t="s">
        <v>2340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2315</v>
      </c>
      <c r="IQ12" s="383">
        <f>IQ13*2</f>
        <v>1833.7466666666667</v>
      </c>
      <c r="IR12" s="66" t="s">
        <v>2430</v>
      </c>
      <c r="IS12" s="268">
        <v>803</v>
      </c>
      <c r="IT12" s="460" t="s">
        <v>2526</v>
      </c>
      <c r="IU12" s="460">
        <v>25.58</v>
      </c>
      <c r="IV12" s="367" t="s">
        <v>2479</v>
      </c>
      <c r="IW12" s="442">
        <v>378.81</v>
      </c>
      <c r="IX12" s="464" t="s">
        <v>1630</v>
      </c>
      <c r="IY12" s="470">
        <v>-997</v>
      </c>
      <c r="IZ12" s="502" t="s">
        <v>2937</v>
      </c>
      <c r="JA12" s="502">
        <v>30</v>
      </c>
      <c r="JB12" s="346" t="s">
        <v>2528</v>
      </c>
      <c r="JC12" s="443">
        <v>52.89</v>
      </c>
      <c r="JD12" s="505" t="s">
        <v>1630</v>
      </c>
      <c r="JE12" s="471">
        <v>-260</v>
      </c>
      <c r="JF12" s="545" t="s">
        <v>2129</v>
      </c>
      <c r="JG12" s="427">
        <f>72.14+1.23</f>
        <v>73.37</v>
      </c>
      <c r="JH12" s="245" t="s">
        <v>2635</v>
      </c>
      <c r="JI12" s="586">
        <f>2.88%/365*(20*140000+21*140220)</f>
        <v>453.27412602739724</v>
      </c>
      <c r="JJ12" s="548" t="s">
        <v>1630</v>
      </c>
      <c r="JK12" s="321">
        <v>-540</v>
      </c>
      <c r="JL12" s="577" t="s">
        <v>1799</v>
      </c>
      <c r="JM12" s="61">
        <v>13.11</v>
      </c>
      <c r="JN12" s="245" t="s">
        <v>2687</v>
      </c>
      <c r="JO12" s="405">
        <v>110000</v>
      </c>
      <c r="JP12" s="581" t="s">
        <v>2673</v>
      </c>
      <c r="JQ12" s="268">
        <v>2600</v>
      </c>
      <c r="JR12" s="495" t="s">
        <v>2751</v>
      </c>
      <c r="JS12" s="651"/>
      <c r="JT12" s="245" t="s">
        <v>2726</v>
      </c>
      <c r="JU12" s="405">
        <v>1478.09</v>
      </c>
      <c r="JV12" s="620" t="s">
        <v>2674</v>
      </c>
      <c r="JW12" s="268">
        <v>800</v>
      </c>
      <c r="JX12" s="649" t="s">
        <v>1799</v>
      </c>
      <c r="JY12" s="590" t="s">
        <v>686</v>
      </c>
      <c r="JZ12" s="346" t="s">
        <v>1814</v>
      </c>
      <c r="KA12" s="61">
        <v>67.23</v>
      </c>
      <c r="KB12" s="705" t="s">
        <v>2673</v>
      </c>
      <c r="KC12" s="268">
        <v>2600</v>
      </c>
      <c r="KD12" s="700" t="s">
        <v>2896</v>
      </c>
      <c r="KE12" s="590">
        <v>46</v>
      </c>
      <c r="KF12" s="345" t="s">
        <v>2971</v>
      </c>
      <c r="KG12" s="405">
        <v>193.39</v>
      </c>
      <c r="KH12" s="747" t="s">
        <v>2574</v>
      </c>
      <c r="KI12" s="268">
        <v>-4000</v>
      </c>
      <c r="KJ12" s="740" t="s">
        <v>2853</v>
      </c>
      <c r="KK12" s="406" t="s">
        <v>657</v>
      </c>
      <c r="KL12" s="263" t="s">
        <v>1557</v>
      </c>
      <c r="KM12" s="740">
        <f>47.8-21.9</f>
        <v>25.9</v>
      </c>
      <c r="KN12" s="2">
        <f>SUM(KI8:KI9)+180+3750</f>
        <v>-127017</v>
      </c>
      <c r="KO12" s="268" t="s">
        <v>2985</v>
      </c>
      <c r="KP12" s="9" t="s">
        <v>2797</v>
      </c>
      <c r="KQ12" s="591"/>
      <c r="KR12" s="346" t="s">
        <v>3093</v>
      </c>
      <c r="KS12" s="835">
        <v>6.48</v>
      </c>
      <c r="KT12" s="789" t="s">
        <v>2908</v>
      </c>
      <c r="KU12" s="268">
        <v>-70600</v>
      </c>
      <c r="KV12" s="493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1878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1878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2000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2041</v>
      </c>
      <c r="HA13" s="374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1920</v>
      </c>
      <c r="HS13" s="6">
        <v>71.900000000000006</v>
      </c>
      <c r="HT13" s="6" t="s">
        <v>1838</v>
      </c>
      <c r="HU13">
        <v>499</v>
      </c>
      <c r="HV13" t="s">
        <v>2274</v>
      </c>
      <c r="HW13" s="242">
        <v>14.49</v>
      </c>
      <c r="HX13" s="245" t="s">
        <v>2211</v>
      </c>
      <c r="HY13">
        <v>10.96</v>
      </c>
      <c r="HZ13" s="66" t="s">
        <v>1505</v>
      </c>
      <c r="IA13" s="142">
        <v>1075</v>
      </c>
      <c r="IB13" t="s">
        <v>2259</v>
      </c>
      <c r="IC13" s="406">
        <v>203.43</v>
      </c>
      <c r="ID13" s="425" t="s">
        <v>1985</v>
      </c>
      <c r="IE13" s="272">
        <v>25000</v>
      </c>
      <c r="IF13" s="66" t="s">
        <v>1874</v>
      </c>
      <c r="IG13" s="2">
        <v>361</v>
      </c>
      <c r="IH13" t="s">
        <v>2320</v>
      </c>
      <c r="II13" s="427">
        <f>160+85</f>
        <v>245</v>
      </c>
      <c r="IJ13" s="346" t="s">
        <v>2385</v>
      </c>
      <c r="IK13">
        <f>139.5+131.4</f>
        <v>270.89999999999998</v>
      </c>
      <c r="IL13" s="66" t="s">
        <v>2352</v>
      </c>
      <c r="IM13" s="268">
        <v>869</v>
      </c>
      <c r="IN13" t="s">
        <v>2356</v>
      </c>
      <c r="IO13" s="427"/>
      <c r="IP13" s="345" t="s">
        <v>2453</v>
      </c>
      <c r="IQ13" s="383">
        <f>2750.62/3</f>
        <v>916.87333333333333</v>
      </c>
      <c r="IR13" s="254" t="s">
        <v>2457</v>
      </c>
      <c r="IS13" s="2">
        <v>142</v>
      </c>
      <c r="IV13" s="346" t="s">
        <v>2503</v>
      </c>
      <c r="IW13" s="443">
        <v>170</v>
      </c>
      <c r="IX13" s="462" t="s">
        <v>1838</v>
      </c>
      <c r="IY13" s="409">
        <v>2600</v>
      </c>
      <c r="JB13" s="543" t="s">
        <v>2592</v>
      </c>
      <c r="JC13" s="443">
        <f>80-40</f>
        <v>40</v>
      </c>
      <c r="JD13" s="503" t="s">
        <v>1838</v>
      </c>
      <c r="JE13" s="430">
        <v>2600</v>
      </c>
      <c r="JF13" s="545" t="s">
        <v>2772</v>
      </c>
      <c r="JG13" s="405">
        <v>22.41</v>
      </c>
      <c r="JH13" s="245" t="s">
        <v>2651</v>
      </c>
      <c r="JI13" s="586"/>
      <c r="JJ13" s="546" t="s">
        <v>1838</v>
      </c>
      <c r="JK13" s="268">
        <v>2600</v>
      </c>
      <c r="JL13" s="9" t="s">
        <v>2773</v>
      </c>
      <c r="JM13" s="591">
        <v>5.9</v>
      </c>
      <c r="JN13" s="245" t="s">
        <v>2907</v>
      </c>
      <c r="JO13" s="52">
        <f>JO14*4</f>
        <v>5080.7519999999995</v>
      </c>
      <c r="JP13" s="584" t="s">
        <v>2674</v>
      </c>
      <c r="JQ13" s="268">
        <v>682</v>
      </c>
      <c r="JR13" s="614" t="s">
        <v>2356</v>
      </c>
      <c r="JS13" s="427"/>
      <c r="JT13" s="245" t="s">
        <v>2524</v>
      </c>
      <c r="JU13" s="52">
        <f>JU14*4</f>
        <v>2540.3759999999997</v>
      </c>
      <c r="JV13" s="620" t="s">
        <v>2675</v>
      </c>
      <c r="JW13" s="268">
        <v>597</v>
      </c>
      <c r="JX13" s="9" t="s">
        <v>2797</v>
      </c>
      <c r="JY13" s="591">
        <v>7.95</v>
      </c>
      <c r="JZ13" s="346" t="s">
        <v>2787</v>
      </c>
      <c r="KA13" s="61">
        <v>2062.8000000000002</v>
      </c>
      <c r="KB13" s="708" t="s">
        <v>2674</v>
      </c>
      <c r="KC13" s="268">
        <v>765</v>
      </c>
      <c r="KD13" s="700" t="s">
        <v>1799</v>
      </c>
      <c r="KE13" s="590">
        <v>13.54</v>
      </c>
      <c r="KF13" s="345" t="s">
        <v>2463</v>
      </c>
      <c r="KG13" s="61">
        <v>74.64</v>
      </c>
      <c r="KH13" s="743" t="s">
        <v>2854</v>
      </c>
      <c r="KI13" s="399">
        <v>366011</v>
      </c>
      <c r="KJ13" s="740" t="s">
        <v>2843</v>
      </c>
      <c r="KK13" s="590">
        <f>73.33+0.96</f>
        <v>74.289999999999992</v>
      </c>
      <c r="KL13" s="263" t="s">
        <v>2420</v>
      </c>
      <c r="KM13" s="740">
        <v>40.590000000000003</v>
      </c>
      <c r="KN13" s="746" t="s">
        <v>3005</v>
      </c>
      <c r="KO13" s="399">
        <v>-82000</v>
      </c>
      <c r="KP13" s="877" t="s">
        <v>2844</v>
      </c>
      <c r="KQ13" s="877"/>
      <c r="KR13" s="346" t="s">
        <v>3095</v>
      </c>
      <c r="KS13" s="789">
        <v>43.2</v>
      </c>
      <c r="KT13" s="789" t="s">
        <v>3017</v>
      </c>
      <c r="KU13" s="268">
        <v>-123206</v>
      </c>
      <c r="KV13" s="493">
        <v>45226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891" t="s">
        <v>1504</v>
      </c>
      <c r="DP14" s="892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1885</v>
      </c>
      <c r="FW14">
        <f>10000+20000+30000</f>
        <v>60000</v>
      </c>
      <c r="FX14" s="66" t="s">
        <v>1874</v>
      </c>
      <c r="FY14">
        <v>1218</v>
      </c>
      <c r="GB14" s="351" t="s">
        <v>2039</v>
      </c>
      <c r="GC14">
        <v>1000</v>
      </c>
      <c r="GD14" s="66" t="s">
        <v>1874</v>
      </c>
      <c r="GE14">
        <v>1258</v>
      </c>
      <c r="GF14" t="s">
        <v>1561</v>
      </c>
      <c r="GG14">
        <v>43</v>
      </c>
      <c r="GH14" s="351" t="s">
        <v>1952</v>
      </c>
      <c r="GI14">
        <v>2000</v>
      </c>
      <c r="GJ14" s="66" t="s">
        <v>1878</v>
      </c>
      <c r="GK14">
        <v>567</v>
      </c>
      <c r="GL14" t="s">
        <v>1608</v>
      </c>
      <c r="GN14" s="245" t="s">
        <v>1991</v>
      </c>
      <c r="GP14" s="66" t="s">
        <v>1878</v>
      </c>
      <c r="GQ14">
        <v>642</v>
      </c>
      <c r="GR14" t="s">
        <v>1561</v>
      </c>
      <c r="GS14">
        <v>50</v>
      </c>
      <c r="GT14" s="351" t="s">
        <v>2038</v>
      </c>
      <c r="GU14">
        <v>1000.05</v>
      </c>
      <c r="GV14" s="66" t="s">
        <v>1878</v>
      </c>
      <c r="GW14">
        <v>21</v>
      </c>
      <c r="GX14" t="s">
        <v>2078</v>
      </c>
      <c r="GY14">
        <v>40</v>
      </c>
      <c r="GZ14" s="367" t="s">
        <v>2077</v>
      </c>
      <c r="HA14">
        <v>1476</v>
      </c>
      <c r="HB14" s="66" t="s">
        <v>1506</v>
      </c>
      <c r="HC14">
        <v>2184</v>
      </c>
      <c r="HD14" s="253" t="s">
        <v>2185</v>
      </c>
      <c r="HE14">
        <v>90</v>
      </c>
      <c r="HF14" s="245" t="s">
        <v>1835</v>
      </c>
      <c r="HG14">
        <v>1000</v>
      </c>
      <c r="HH14" s="66" t="s">
        <v>1878</v>
      </c>
      <c r="HI14">
        <v>3063</v>
      </c>
      <c r="HJ14" s="848" t="s">
        <v>2151</v>
      </c>
      <c r="HK14" s="848"/>
      <c r="HL14" s="345" t="s">
        <v>1195</v>
      </c>
      <c r="HM14">
        <f>6.5+15</f>
        <v>21.5</v>
      </c>
      <c r="HN14" s="66" t="s">
        <v>1506</v>
      </c>
      <c r="HO14">
        <v>912</v>
      </c>
      <c r="HP14" s="378"/>
      <c r="HQ14" s="376"/>
      <c r="HR14" s="345" t="s">
        <v>2141</v>
      </c>
      <c r="HS14">
        <v>132.94999999999999</v>
      </c>
      <c r="HT14" s="66" t="s">
        <v>1505</v>
      </c>
      <c r="HU14">
        <v>1235</v>
      </c>
      <c r="HW14" s="242"/>
      <c r="HX14" s="245" t="s">
        <v>2512</v>
      </c>
      <c r="HY14" s="2">
        <f>-IA6</f>
        <v>0</v>
      </c>
      <c r="HZ14" s="66" t="s">
        <v>1506</v>
      </c>
      <c r="IA14" s="142">
        <v>2028</v>
      </c>
      <c r="IB14" t="s">
        <v>2260</v>
      </c>
      <c r="IC14" s="405">
        <v>13.56</v>
      </c>
      <c r="ID14" s="425" t="s">
        <v>2316</v>
      </c>
      <c r="IE14" s="272">
        <v>2000</v>
      </c>
      <c r="IF14" s="66" t="s">
        <v>2168</v>
      </c>
      <c r="IG14" s="2">
        <v>1000</v>
      </c>
      <c r="II14" s="427"/>
      <c r="IJ14" s="245" t="s">
        <v>2202</v>
      </c>
      <c r="IK14">
        <v>100</v>
      </c>
      <c r="IL14" s="403" t="s">
        <v>2381</v>
      </c>
      <c r="IM14" s="268">
        <v>3140</v>
      </c>
      <c r="IN14" t="s">
        <v>2129</v>
      </c>
      <c r="IO14" s="427">
        <f>75+12</f>
        <v>87</v>
      </c>
      <c r="IP14" s="345" t="s">
        <v>2141</v>
      </c>
      <c r="IQ14" s="459">
        <v>30</v>
      </c>
      <c r="IR14" s="66" t="s">
        <v>2405</v>
      </c>
      <c r="IS14" s="2" t="s">
        <v>2455</v>
      </c>
      <c r="IT14" s="460" t="s">
        <v>2356</v>
      </c>
      <c r="IU14" s="427"/>
      <c r="IV14" s="245" t="s">
        <v>2524</v>
      </c>
      <c r="IW14" s="2">
        <f>IW15*2</f>
        <v>2116.9666666666667</v>
      </c>
      <c r="IX14" s="463" t="s">
        <v>1505</v>
      </c>
      <c r="IY14" s="268">
        <v>983</v>
      </c>
      <c r="IZ14" s="502" t="s">
        <v>2356</v>
      </c>
      <c r="JA14" s="427"/>
      <c r="JB14" s="245" t="s">
        <v>2591</v>
      </c>
      <c r="JC14" s="529">
        <v>26.001000000000001</v>
      </c>
      <c r="JD14" s="506" t="s">
        <v>1505</v>
      </c>
      <c r="JE14" s="268">
        <v>635</v>
      </c>
      <c r="JF14" s="567" t="s">
        <v>2640</v>
      </c>
      <c r="JG14" s="405">
        <v>118.15</v>
      </c>
      <c r="JH14" s="245" t="s">
        <v>2686</v>
      </c>
      <c r="JI14" s="405">
        <v>1422.53</v>
      </c>
      <c r="JJ14" s="549" t="s">
        <v>1505</v>
      </c>
      <c r="JK14" s="268">
        <v>966</v>
      </c>
      <c r="JL14" s="9" t="s">
        <v>2774</v>
      </c>
      <c r="JM14" s="591"/>
      <c r="JN14" s="345" t="s">
        <v>2706</v>
      </c>
      <c r="JO14" s="52">
        <f>(3175.47/5)*2</f>
        <v>1270.1879999999999</v>
      </c>
      <c r="JP14" s="584" t="s">
        <v>2675</v>
      </c>
      <c r="JQ14" s="268">
        <v>895</v>
      </c>
      <c r="JR14" s="470" t="s">
        <v>2129</v>
      </c>
      <c r="JS14" s="590">
        <f>54.27+1.49</f>
        <v>55.760000000000005</v>
      </c>
      <c r="JT14" s="345" t="s">
        <v>2811</v>
      </c>
      <c r="JU14" s="52">
        <f>(3175.47/5)</f>
        <v>635.09399999999994</v>
      </c>
      <c r="JV14" s="620" t="s">
        <v>2676</v>
      </c>
      <c r="JW14" s="268">
        <v>561</v>
      </c>
      <c r="JX14" s="9" t="s">
        <v>2814</v>
      </c>
      <c r="JY14" s="591"/>
      <c r="JZ14" s="346" t="s">
        <v>2584</v>
      </c>
      <c r="KA14" s="649">
        <f>259.2+410.4</f>
        <v>669.59999999999991</v>
      </c>
      <c r="KB14" s="708" t="s">
        <v>2675</v>
      </c>
      <c r="KC14" s="430">
        <v>1438</v>
      </c>
      <c r="KD14" s="9" t="s">
        <v>2797</v>
      </c>
      <c r="KE14" s="591"/>
      <c r="KF14" s="345" t="s">
        <v>2527</v>
      </c>
      <c r="KG14" s="444">
        <v>131.87</v>
      </c>
      <c r="KH14" s="747" t="s">
        <v>2916</v>
      </c>
      <c r="KI14" s="268">
        <v>100032</v>
      </c>
      <c r="KJ14" s="9"/>
      <c r="KK14" s="591"/>
      <c r="KL14" s="333" t="s">
        <v>1835</v>
      </c>
      <c r="KM14" s="529">
        <v>1000</v>
      </c>
      <c r="KN14" s="747" t="s">
        <v>2574</v>
      </c>
      <c r="KO14" s="268">
        <v>-4000</v>
      </c>
      <c r="KP14" s="9"/>
      <c r="KQ14" s="591"/>
      <c r="KR14" s="263" t="s">
        <v>3059</v>
      </c>
      <c r="KS14" s="822">
        <v>3.33</v>
      </c>
      <c r="KT14" s="2">
        <f>127017-200-3611</f>
        <v>123206</v>
      </c>
      <c r="KU14" s="268" t="s">
        <v>2985</v>
      </c>
      <c r="KV14" s="493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1893</v>
      </c>
      <c r="FD15" s="346" t="s">
        <v>1027</v>
      </c>
      <c r="FE15" s="207">
        <f>797+936</f>
        <v>1733</v>
      </c>
      <c r="FF15" s="6" t="s">
        <v>1739</v>
      </c>
      <c r="FG15" s="274" t="s">
        <v>1893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1885</v>
      </c>
      <c r="GC15">
        <v>63477.54</v>
      </c>
      <c r="GD15" s="66" t="s">
        <v>1412</v>
      </c>
      <c r="GE15" s="6">
        <v>0</v>
      </c>
      <c r="GH15" s="245" t="s">
        <v>1991</v>
      </c>
      <c r="GJ15" s="66" t="s">
        <v>1874</v>
      </c>
      <c r="GK15">
        <v>268</v>
      </c>
      <c r="GL15" s="253" t="s">
        <v>423</v>
      </c>
      <c r="GM15">
        <v>114</v>
      </c>
      <c r="GN15" s="367" t="s">
        <v>2005</v>
      </c>
      <c r="GO15">
        <v>139.96</v>
      </c>
      <c r="GP15" s="66" t="s">
        <v>1874</v>
      </c>
      <c r="GQ15">
        <v>318</v>
      </c>
      <c r="GT15" s="351" t="s">
        <v>2043</v>
      </c>
      <c r="GU15">
        <v>35.1</v>
      </c>
      <c r="GV15" s="66" t="s">
        <v>1874</v>
      </c>
      <c r="GW15">
        <v>360</v>
      </c>
      <c r="GZ15" s="346" t="s">
        <v>2063</v>
      </c>
      <c r="HA15">
        <f>10+10+120*2</f>
        <v>260</v>
      </c>
      <c r="HB15" s="66" t="s">
        <v>1878</v>
      </c>
      <c r="HC15">
        <v>2569</v>
      </c>
      <c r="HD15" t="s">
        <v>1799</v>
      </c>
      <c r="HE15" s="242"/>
      <c r="HF15" s="245" t="s">
        <v>2139</v>
      </c>
      <c r="HG15">
        <v>80</v>
      </c>
      <c r="HH15" s="66" t="s">
        <v>1874</v>
      </c>
      <c r="HI15">
        <v>357</v>
      </c>
      <c r="HJ15" s="389">
        <v>3179.26</v>
      </c>
      <c r="HK15" s="376" t="s">
        <v>2106</v>
      </c>
      <c r="HL15" s="345" t="s">
        <v>2153</v>
      </c>
      <c r="HM15">
        <f>9+10.96</f>
        <v>19.96</v>
      </c>
      <c r="HN15" s="66" t="s">
        <v>1878</v>
      </c>
      <c r="HO15">
        <v>111</v>
      </c>
      <c r="HP15" s="202"/>
      <c r="HR15" s="345" t="s">
        <v>2142</v>
      </c>
      <c r="HS15">
        <v>161.36000000000001</v>
      </c>
      <c r="HT15" s="66" t="s">
        <v>1506</v>
      </c>
      <c r="HU15">
        <v>1573</v>
      </c>
      <c r="HV15" t="s">
        <v>2241</v>
      </c>
      <c r="HW15" s="52"/>
      <c r="HX15" s="245" t="s">
        <v>2247</v>
      </c>
      <c r="HY15" s="383">
        <f>HY16*5</f>
        <v>2104.9333333333334</v>
      </c>
      <c r="HZ15" s="66" t="s">
        <v>2236</v>
      </c>
      <c r="IA15" s="268">
        <v>442</v>
      </c>
      <c r="IB15" t="s">
        <v>2273</v>
      </c>
      <c r="IC15" s="405"/>
      <c r="ID15" s="426" t="s">
        <v>2317</v>
      </c>
      <c r="IE15" s="272">
        <v>4000</v>
      </c>
      <c r="IF15" s="66" t="s">
        <v>2265</v>
      </c>
      <c r="IG15" s="2">
        <f>12000+100000+33000</f>
        <v>145000</v>
      </c>
      <c r="IH15" t="s">
        <v>2356</v>
      </c>
      <c r="II15" s="405"/>
      <c r="IJ15" s="245" t="s">
        <v>2315</v>
      </c>
      <c r="IK15" s="383">
        <f>IK16*2</f>
        <v>1833.7466666666667</v>
      </c>
      <c r="IL15" s="66" t="s">
        <v>1878</v>
      </c>
      <c r="IM15" s="268">
        <v>450</v>
      </c>
      <c r="IN15" t="s">
        <v>2392</v>
      </c>
      <c r="IO15" s="405">
        <v>12.4</v>
      </c>
      <c r="IP15" s="345" t="s">
        <v>2282</v>
      </c>
      <c r="IQ15" s="444">
        <v>119.64</v>
      </c>
      <c r="IR15" s="254" t="s">
        <v>2390</v>
      </c>
      <c r="IS15" s="2">
        <f>100*(120+1000+330+310)</f>
        <v>176000</v>
      </c>
      <c r="IT15" s="460" t="s">
        <v>2509</v>
      </c>
      <c r="IU15" s="427">
        <v>43</v>
      </c>
      <c r="IV15" s="345" t="s">
        <v>2452</v>
      </c>
      <c r="IW15" s="2">
        <f>3175.45/3</f>
        <v>1058.4833333333333</v>
      </c>
      <c r="IX15" s="463" t="s">
        <v>1506</v>
      </c>
      <c r="IY15" s="268">
        <v>618</v>
      </c>
      <c r="IZ15" s="502" t="s">
        <v>2129</v>
      </c>
      <c r="JA15" s="427">
        <v>52.000999999999998</v>
      </c>
      <c r="JB15" s="245" t="s">
        <v>1835</v>
      </c>
      <c r="JC15" s="529">
        <v>2000</v>
      </c>
      <c r="JD15" s="506" t="s">
        <v>1506</v>
      </c>
      <c r="JE15" s="268">
        <v>1778</v>
      </c>
      <c r="JF15" s="545" t="s">
        <v>2916</v>
      </c>
      <c r="JG15" s="545">
        <f>6.24+2.24</f>
        <v>8.48</v>
      </c>
      <c r="JH15" s="366" t="s">
        <v>2636</v>
      </c>
      <c r="JI15" s="405">
        <v>155000</v>
      </c>
      <c r="JJ15" s="549" t="s">
        <v>1506</v>
      </c>
      <c r="JK15" s="268">
        <v>1556</v>
      </c>
      <c r="JL15" s="632" t="s">
        <v>2917</v>
      </c>
      <c r="JM15" s="423">
        <v>1.96</v>
      </c>
      <c r="JN15" s="345" t="s">
        <v>2463</v>
      </c>
      <c r="JO15" s="61">
        <v>53.91</v>
      </c>
      <c r="JP15" s="584" t="s">
        <v>2676</v>
      </c>
      <c r="JQ15" s="268">
        <v>76</v>
      </c>
      <c r="JR15" s="628" t="s">
        <v>2714</v>
      </c>
      <c r="JS15" s="591">
        <v>200</v>
      </c>
      <c r="JT15" s="345" t="s">
        <v>2463</v>
      </c>
      <c r="JU15" s="61">
        <v>75.430000000000007</v>
      </c>
      <c r="JV15" s="620" t="s">
        <v>2938</v>
      </c>
      <c r="JW15" s="268">
        <v>2151</v>
      </c>
      <c r="JX15" s="9"/>
      <c r="JY15" s="591"/>
      <c r="JZ15" s="346" t="s">
        <v>2788</v>
      </c>
      <c r="KA15" s="679">
        <v>10</v>
      </c>
      <c r="KB15" s="708" t="s">
        <v>2916</v>
      </c>
      <c r="KC15" s="268">
        <v>100491</v>
      </c>
      <c r="KD15" s="877" t="s">
        <v>2844</v>
      </c>
      <c r="KE15" s="877"/>
      <c r="KF15" s="345" t="s">
        <v>1195</v>
      </c>
      <c r="KG15" s="61">
        <f>10+6.5+15</f>
        <v>31.5</v>
      </c>
      <c r="KH15" s="745" t="s">
        <v>2886</v>
      </c>
      <c r="KI15" s="492"/>
      <c r="KJ15" s="740" t="s">
        <v>2830</v>
      </c>
      <c r="KK15" s="591"/>
      <c r="KL15" s="245" t="s">
        <v>2950</v>
      </c>
      <c r="KM15" s="405">
        <v>50065.8</v>
      </c>
      <c r="KN15" s="743" t="s">
        <v>2854</v>
      </c>
      <c r="KO15" s="399">
        <v>199006</v>
      </c>
      <c r="KP15" s="789" t="s">
        <v>2830</v>
      </c>
      <c r="KQ15" s="591"/>
      <c r="KR15" s="263" t="s">
        <v>2420</v>
      </c>
      <c r="KS15" s="822">
        <v>194.04</v>
      </c>
      <c r="KT15" s="795" t="s">
        <v>3005</v>
      </c>
      <c r="KU15" s="399">
        <v>-87000</v>
      </c>
      <c r="KV15" s="493">
        <v>45225</v>
      </c>
      <c r="KW15" s="801" t="s">
        <v>3068</v>
      </c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1965</v>
      </c>
      <c r="BF16" s="205">
        <v>420</v>
      </c>
      <c r="BG16" s="63" t="s">
        <v>1204</v>
      </c>
      <c r="BH16" s="64">
        <v>17.37</v>
      </c>
      <c r="BK16" s="264" t="s">
        <v>1966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1886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1945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1948</v>
      </c>
      <c r="GI16">
        <v>2454.0500000000002</v>
      </c>
      <c r="GJ16" s="66" t="s">
        <v>1412</v>
      </c>
      <c r="GK16" s="6">
        <v>0</v>
      </c>
      <c r="GN16" s="367" t="s">
        <v>2004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2027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1874</v>
      </c>
      <c r="HC16">
        <v>402</v>
      </c>
      <c r="HE16" s="242"/>
      <c r="HF16" s="245" t="s">
        <v>2041</v>
      </c>
      <c r="HG16" s="383">
        <f>HG20*5</f>
        <v>2104.9333333333334</v>
      </c>
      <c r="HH16" s="1" t="s">
        <v>1625</v>
      </c>
      <c r="HI16">
        <v>90</v>
      </c>
      <c r="HJ16" s="390">
        <v>-114.61</v>
      </c>
      <c r="HK16" t="s">
        <v>2112</v>
      </c>
      <c r="HL16" s="345" t="s">
        <v>2172</v>
      </c>
      <c r="HM16">
        <v>32</v>
      </c>
      <c r="HN16" s="66" t="s">
        <v>1874</v>
      </c>
      <c r="HO16">
        <v>407</v>
      </c>
      <c r="HP16" s="378"/>
      <c r="HQ16" s="376"/>
      <c r="HR16" s="345" t="s">
        <v>1816</v>
      </c>
      <c r="HS16">
        <v>113.11</v>
      </c>
      <c r="HT16" s="66" t="s">
        <v>1507</v>
      </c>
      <c r="HU16">
        <v>0</v>
      </c>
      <c r="HV16" s="378" t="s">
        <v>2237</v>
      </c>
      <c r="HW16" s="402">
        <f>18.8+37.6</f>
        <v>56.400000000000006</v>
      </c>
      <c r="HX16" s="345" t="s">
        <v>2040</v>
      </c>
      <c r="HY16" s="383">
        <f>2525.92/6</f>
        <v>420.98666666666668</v>
      </c>
      <c r="HZ16" s="66" t="s">
        <v>1878</v>
      </c>
      <c r="IA16">
        <v>606</v>
      </c>
      <c r="IB16" s="410" t="s">
        <v>2266</v>
      </c>
      <c r="IC16" s="411">
        <f>208.9*2</f>
        <v>417.8</v>
      </c>
      <c r="ID16" s="245" t="s">
        <v>2202</v>
      </c>
      <c r="IE16">
        <v>100</v>
      </c>
      <c r="IF16" s="66" t="s">
        <v>2264</v>
      </c>
      <c r="IG16">
        <f>10500+2</f>
        <v>10502</v>
      </c>
      <c r="IH16" t="s">
        <v>2129</v>
      </c>
      <c r="II16" s="405">
        <f>1.64+37.8</f>
        <v>39.44</v>
      </c>
      <c r="IJ16" s="345" t="s">
        <v>2040</v>
      </c>
      <c r="IK16" s="383">
        <f>2750.62/3</f>
        <v>916.87333333333333</v>
      </c>
      <c r="IL16" s="66" t="s">
        <v>1874</v>
      </c>
      <c r="IM16" s="2">
        <v>102</v>
      </c>
      <c r="IN16" s="441" t="s">
        <v>1799</v>
      </c>
      <c r="IO16" s="405">
        <v>1.55</v>
      </c>
      <c r="IP16" s="345" t="s">
        <v>1195</v>
      </c>
      <c r="IQ16" s="61">
        <f>15+6.5</f>
        <v>21.5</v>
      </c>
      <c r="IR16" s="66" t="s">
        <v>2357</v>
      </c>
      <c r="IS16">
        <f>10502+14002</f>
        <v>24504</v>
      </c>
      <c r="IT16" s="9" t="s">
        <v>2580</v>
      </c>
      <c r="IU16" s="405">
        <v>7.57</v>
      </c>
      <c r="IV16" s="345" t="s">
        <v>2463</v>
      </c>
      <c r="IW16" s="61">
        <v>47.54</v>
      </c>
      <c r="IX16" s="463" t="s">
        <v>2458</v>
      </c>
      <c r="IY16" s="268">
        <v>24</v>
      </c>
      <c r="IZ16" s="593" t="s">
        <v>2667</v>
      </c>
      <c r="JA16" s="405">
        <v>16.05</v>
      </c>
      <c r="JB16" s="245" t="s">
        <v>2524</v>
      </c>
      <c r="JC16" s="52">
        <f>JC17*2</f>
        <v>2116.98</v>
      </c>
      <c r="JD16" s="506" t="s">
        <v>2590</v>
      </c>
      <c r="JE16" s="268">
        <v>89</v>
      </c>
      <c r="JF16" s="378" t="s">
        <v>2622</v>
      </c>
      <c r="JG16" s="423">
        <v>379.39</v>
      </c>
      <c r="JH16" s="345" t="s">
        <v>2645</v>
      </c>
      <c r="JI16" s="61" t="s">
        <v>657</v>
      </c>
      <c r="JJ16" s="549" t="s">
        <v>2590</v>
      </c>
      <c r="JK16" s="268">
        <v>4000</v>
      </c>
      <c r="JL16" s="577" t="s">
        <v>2925</v>
      </c>
      <c r="JM16" s="61">
        <f>25.72</f>
        <v>25.72</v>
      </c>
      <c r="JN16" s="345" t="s">
        <v>2602</v>
      </c>
      <c r="JO16" s="61">
        <v>23.96</v>
      </c>
      <c r="JP16" s="584" t="s">
        <v>2938</v>
      </c>
      <c r="JQ16" s="492">
        <v>2441</v>
      </c>
      <c r="JR16" s="646" t="s">
        <v>2734</v>
      </c>
      <c r="JS16" s="591">
        <v>300</v>
      </c>
      <c r="JT16" s="345" t="s">
        <v>2602</v>
      </c>
      <c r="JU16" s="61">
        <v>129.6</v>
      </c>
      <c r="JV16" s="254" t="s">
        <v>2677</v>
      </c>
      <c r="JW16" s="492"/>
      <c r="JX16" s="697" t="s">
        <v>2830</v>
      </c>
      <c r="JY16" s="591"/>
      <c r="JZ16" s="346" t="s">
        <v>2798</v>
      </c>
      <c r="KA16" s="685">
        <f>6.8+7.8</f>
        <v>14.6</v>
      </c>
      <c r="KB16" s="254" t="s">
        <v>2794</v>
      </c>
      <c r="KC16" s="492"/>
      <c r="KD16" s="749"/>
      <c r="KE16" s="749"/>
      <c r="KF16" s="345" t="s">
        <v>2682</v>
      </c>
      <c r="KG16" s="61">
        <f>14.32+18</f>
        <v>32.32</v>
      </c>
      <c r="KH16" s="320" t="s">
        <v>2885</v>
      </c>
      <c r="KI16" s="380">
        <v>30</v>
      </c>
      <c r="KJ16" s="9" t="s">
        <v>2986</v>
      </c>
      <c r="KK16" s="591">
        <f>7.87+11.3</f>
        <v>19.170000000000002</v>
      </c>
      <c r="KL16" s="245" t="s">
        <v>2904</v>
      </c>
      <c r="KM16" s="405">
        <f>KM19*9</f>
        <v>1272.2760000000001</v>
      </c>
      <c r="KN16" s="747" t="s">
        <v>2916</v>
      </c>
      <c r="KO16" s="268">
        <v>100842</v>
      </c>
      <c r="KP16" s="795" t="s">
        <v>3039</v>
      </c>
      <c r="KQ16" s="591">
        <f>205.48+73.97+65.75</f>
        <v>345.2</v>
      </c>
      <c r="KR16" s="263" t="s">
        <v>3091</v>
      </c>
      <c r="KS16" s="834">
        <f>111.95+16.63</f>
        <v>128.58000000000001</v>
      </c>
      <c r="KT16" s="796" t="s">
        <v>2574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1893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1901</v>
      </c>
      <c r="FU17" s="242">
        <v>18.399999999999999</v>
      </c>
      <c r="FV17" s="346" t="s">
        <v>1909</v>
      </c>
      <c r="FW17" s="207">
        <v>29.62</v>
      </c>
      <c r="FX17" s="254" t="s">
        <v>1918</v>
      </c>
      <c r="FZ17" t="s">
        <v>1799</v>
      </c>
      <c r="GA17">
        <v>13.32</v>
      </c>
      <c r="GB17" s="362" t="s">
        <v>1939</v>
      </c>
      <c r="GC17">
        <v>134</v>
      </c>
      <c r="GD17" s="254" t="s">
        <v>1918</v>
      </c>
      <c r="GF17" s="253" t="s">
        <v>423</v>
      </c>
      <c r="GG17">
        <v>130.44999999999999</v>
      </c>
      <c r="GH17" s="367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2026</v>
      </c>
      <c r="GU17">
        <v>5</v>
      </c>
      <c r="GV17" s="254" t="s">
        <v>2021</v>
      </c>
      <c r="GY17" s="242"/>
      <c r="GZ17" s="373" t="s">
        <v>2086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67" t="s">
        <v>2100</v>
      </c>
      <c r="HG17">
        <v>48.24</v>
      </c>
      <c r="HH17" s="254" t="s">
        <v>2021</v>
      </c>
      <c r="HJ17" s="389">
        <v>258.44</v>
      </c>
      <c r="HK17" s="376" t="s">
        <v>2104</v>
      </c>
      <c r="HL17" s="345" t="s">
        <v>1955</v>
      </c>
      <c r="HM17">
        <f>HK7</f>
        <v>30.001000000000001</v>
      </c>
      <c r="HN17" s="66" t="s">
        <v>2168</v>
      </c>
      <c r="HO17">
        <v>89</v>
      </c>
      <c r="HP17" s="378"/>
      <c r="HQ17" s="376"/>
      <c r="HR17" s="345" t="s">
        <v>1195</v>
      </c>
      <c r="HS17">
        <f>6.5+15</f>
        <v>21.5</v>
      </c>
      <c r="HT17" s="66" t="s">
        <v>1878</v>
      </c>
      <c r="HU17">
        <v>659</v>
      </c>
      <c r="HV17" s="202" t="s">
        <v>2238</v>
      </c>
      <c r="HW17" s="52">
        <v>37.6</v>
      </c>
      <c r="HX17" s="345" t="s">
        <v>1920</v>
      </c>
      <c r="HY17" s="383">
        <v>177.48</v>
      </c>
      <c r="HZ17" s="66" t="s">
        <v>1874</v>
      </c>
      <c r="IA17">
        <v>311</v>
      </c>
      <c r="IB17" s="412" t="s">
        <v>2270</v>
      </c>
      <c r="IC17" s="413">
        <v>835.6</v>
      </c>
      <c r="ID17" s="245" t="s">
        <v>2315</v>
      </c>
      <c r="IE17" s="383">
        <f>IE18*2</f>
        <v>1833.7466666666667</v>
      </c>
      <c r="IF17" s="66" t="s">
        <v>2300</v>
      </c>
      <c r="IG17" s="2" t="s">
        <v>686</v>
      </c>
      <c r="IH17" t="s">
        <v>1799</v>
      </c>
      <c r="II17" s="406">
        <v>1.67</v>
      </c>
      <c r="IJ17" s="345" t="s">
        <v>1920</v>
      </c>
      <c r="IK17" s="383" t="s">
        <v>2376</v>
      </c>
      <c r="IL17" s="66" t="s">
        <v>2168</v>
      </c>
      <c r="IM17" s="2">
        <v>4000</v>
      </c>
      <c r="IN17" t="s">
        <v>2404</v>
      </c>
      <c r="IO17" s="406">
        <f>149.59*2</f>
        <v>299.18</v>
      </c>
      <c r="IP17" s="345" t="s">
        <v>2153</v>
      </c>
      <c r="IQ17" s="61">
        <v>18</v>
      </c>
      <c r="IR17" s="403" t="s">
        <v>2407</v>
      </c>
      <c r="IS17" s="242">
        <v>65005</v>
      </c>
      <c r="IT17" s="538" t="s">
        <v>1799</v>
      </c>
      <c r="IU17" s="460">
        <v>13.86</v>
      </c>
      <c r="IV17" s="345" t="s">
        <v>2141</v>
      </c>
      <c r="IW17" s="460">
        <f>30+59.31</f>
        <v>89.31</v>
      </c>
      <c r="IX17" s="403" t="s">
        <v>2407</v>
      </c>
      <c r="IY17" s="242">
        <v>65005</v>
      </c>
      <c r="IZ17" s="528" t="s">
        <v>2916</v>
      </c>
      <c r="JA17" s="528">
        <f>5.9+2.12</f>
        <v>8.02</v>
      </c>
      <c r="JB17" s="345" t="s">
        <v>2452</v>
      </c>
      <c r="JC17" s="52">
        <f>3175.47/3</f>
        <v>1058.49</v>
      </c>
      <c r="JD17" s="403" t="s">
        <v>2407</v>
      </c>
      <c r="JE17" s="268">
        <v>65005</v>
      </c>
      <c r="JF17" s="378" t="s">
        <v>2623</v>
      </c>
      <c r="JG17" s="545">
        <v>442.61</v>
      </c>
      <c r="JH17" s="345" t="s">
        <v>2586</v>
      </c>
      <c r="JI17" s="61">
        <v>59.36</v>
      </c>
      <c r="JJ17" s="561" t="s">
        <v>2620</v>
      </c>
      <c r="JK17" s="268">
        <f>25000.29+90000.29+140000.29+10000</f>
        <v>265000.87</v>
      </c>
      <c r="JL17" s="632" t="s">
        <v>2926</v>
      </c>
      <c r="JM17" s="61">
        <f>180.39+64.94+57.72</f>
        <v>303.04999999999995</v>
      </c>
      <c r="JN17" s="345" t="s">
        <v>2939</v>
      </c>
      <c r="JO17" s="61">
        <v>30</v>
      </c>
      <c r="JP17" s="254" t="s">
        <v>2677</v>
      </c>
      <c r="JQ17" s="492"/>
      <c r="JR17" s="632" t="s">
        <v>2917</v>
      </c>
      <c r="JS17" s="591">
        <v>2.95</v>
      </c>
      <c r="JT17" s="345" t="s">
        <v>2748</v>
      </c>
      <c r="JU17" s="444">
        <v>131.6</v>
      </c>
      <c r="JV17" s="620" t="s">
        <v>2678</v>
      </c>
      <c r="JW17" s="268">
        <v>0</v>
      </c>
      <c r="JX17" s="9" t="s">
        <v>2786</v>
      </c>
      <c r="JY17" s="591">
        <f>1.29+1.15</f>
        <v>2.44</v>
      </c>
      <c r="JZ17" s="346" t="s">
        <v>2790</v>
      </c>
      <c r="KA17" s="649">
        <f>73.44/2</f>
        <v>36.72</v>
      </c>
      <c r="KB17" s="708" t="s">
        <v>2678</v>
      </c>
      <c r="KC17" s="268">
        <v>0</v>
      </c>
      <c r="KD17" s="700" t="s">
        <v>2830</v>
      </c>
      <c r="KE17" s="591"/>
      <c r="KF17" s="345" t="s">
        <v>2940</v>
      </c>
      <c r="KG17" s="61">
        <v>180</v>
      </c>
      <c r="KH17" s="205" t="s">
        <v>2887</v>
      </c>
      <c r="KI17" s="359">
        <f>686-1000</f>
        <v>-314</v>
      </c>
      <c r="KJ17" s="9" t="s">
        <v>2436</v>
      </c>
      <c r="KK17" s="591">
        <v>7.97</v>
      </c>
      <c r="KL17" s="424" t="s">
        <v>2978</v>
      </c>
      <c r="KM17" s="405">
        <f>1388.33-KM18</f>
        <v>1240.58</v>
      </c>
      <c r="KN17" s="776" t="s">
        <v>3003</v>
      </c>
      <c r="KO17" s="268">
        <v>129000</v>
      </c>
      <c r="KP17" s="9" t="s">
        <v>3021</v>
      </c>
      <c r="KQ17" s="591">
        <f>1.52</f>
        <v>1.52</v>
      </c>
      <c r="KR17" s="263" t="s">
        <v>3060</v>
      </c>
      <c r="KS17" s="763">
        <v>141.03</v>
      </c>
      <c r="KT17" s="802" t="s">
        <v>3019</v>
      </c>
      <c r="KU17" s="268">
        <v>0</v>
      </c>
      <c r="KV17" s="108" t="s">
        <v>3105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891" t="s">
        <v>1474</v>
      </c>
      <c r="DJ18" s="892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1894</v>
      </c>
      <c r="FS18" s="274"/>
      <c r="FU18" s="242"/>
      <c r="FV18" s="345" t="s">
        <v>1911</v>
      </c>
      <c r="FW18">
        <f>3.08+89.15</f>
        <v>92.23</v>
      </c>
      <c r="FX18" s="1" t="s">
        <v>1898</v>
      </c>
      <c r="FY18" s="254">
        <v>748</v>
      </c>
      <c r="GB18" s="346" t="s">
        <v>1863</v>
      </c>
      <c r="GD18" s="1" t="s">
        <v>1898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1970</v>
      </c>
      <c r="GK18">
        <v>1200</v>
      </c>
      <c r="GM18" s="242"/>
      <c r="GN18" s="346" t="s">
        <v>2013</v>
      </c>
      <c r="GO18">
        <v>54.38</v>
      </c>
      <c r="GP18" s="254" t="s">
        <v>2018</v>
      </c>
      <c r="GR18" t="s">
        <v>1799</v>
      </c>
      <c r="GS18">
        <v>13.53</v>
      </c>
      <c r="GT18" s="345" t="s">
        <v>1996</v>
      </c>
      <c r="GU18">
        <v>67.42</v>
      </c>
      <c r="GV18" s="7" t="s">
        <v>1970</v>
      </c>
      <c r="GW18">
        <v>1001</v>
      </c>
      <c r="GX18" s="60"/>
      <c r="GZ18" s="345" t="s">
        <v>2040</v>
      </c>
      <c r="HA18" s="383">
        <f>2525.92/6</f>
        <v>420.98666666666668</v>
      </c>
      <c r="HB18" s="254" t="s">
        <v>2021</v>
      </c>
      <c r="HD18" t="s">
        <v>2109</v>
      </c>
      <c r="HE18">
        <f>1.25*3</f>
        <v>3.75</v>
      </c>
      <c r="HF18" s="346" t="s">
        <v>2089</v>
      </c>
      <c r="HG18">
        <v>33</v>
      </c>
      <c r="HH18" s="7" t="s">
        <v>1970</v>
      </c>
      <c r="HI18">
        <v>2041</v>
      </c>
      <c r="HJ18" s="389">
        <v>23.05</v>
      </c>
      <c r="HK18" s="376" t="s">
        <v>2104</v>
      </c>
      <c r="HL18" s="345" t="s">
        <v>1956</v>
      </c>
      <c r="HM18" s="387">
        <f>15.88+15.81+18.55+16.76+17.32+18.76</f>
        <v>103.08</v>
      </c>
      <c r="HN18" s="1" t="s">
        <v>1625</v>
      </c>
      <c r="HO18">
        <v>150</v>
      </c>
      <c r="HP18" s="379"/>
      <c r="HQ18" s="377"/>
      <c r="HR18" s="345" t="s">
        <v>2153</v>
      </c>
      <c r="HS18">
        <f>9+10.96</f>
        <v>19.96</v>
      </c>
      <c r="HT18" s="66" t="s">
        <v>1874</v>
      </c>
      <c r="HU18">
        <v>457</v>
      </c>
      <c r="HV18" s="378" t="s">
        <v>2240</v>
      </c>
      <c r="HW18" s="402">
        <f>18.8*3+56.4</f>
        <v>112.80000000000001</v>
      </c>
      <c r="HX18" s="345" t="s">
        <v>2142</v>
      </c>
      <c r="HY18">
        <v>96.35</v>
      </c>
      <c r="HZ18" s="66" t="s">
        <v>2168</v>
      </c>
      <c r="IA18">
        <v>0</v>
      </c>
      <c r="IB18" s="414" t="s">
        <v>2267</v>
      </c>
      <c r="IC18" s="413">
        <f>20.89*3</f>
        <v>62.67</v>
      </c>
      <c r="ID18" s="345" t="s">
        <v>2040</v>
      </c>
      <c r="IE18" s="383">
        <f>2750.62/3</f>
        <v>916.87333333333333</v>
      </c>
      <c r="IF18" s="403" t="s">
        <v>2219</v>
      </c>
      <c r="IG18" s="268">
        <v>295021.18</v>
      </c>
      <c r="IH18" t="s">
        <v>2391</v>
      </c>
      <c r="II18" s="406">
        <v>17.73</v>
      </c>
      <c r="IJ18" s="345" t="s">
        <v>2141</v>
      </c>
      <c r="IK18" t="s">
        <v>2376</v>
      </c>
      <c r="IL18" s="254" t="s">
        <v>2358</v>
      </c>
      <c r="IM18" s="2">
        <f>100*(120+1000+330+310)</f>
        <v>176000</v>
      </c>
      <c r="IN18" t="s">
        <v>2916</v>
      </c>
      <c r="IO18">
        <v>3</v>
      </c>
      <c r="IP18" s="345" t="s">
        <v>2403</v>
      </c>
      <c r="IQ18" s="61">
        <v>42.65</v>
      </c>
      <c r="IR18" s="66" t="s">
        <v>2916</v>
      </c>
      <c r="IS18" s="268">
        <v>1143</v>
      </c>
      <c r="IT18" s="593" t="s">
        <v>2667</v>
      </c>
      <c r="IU18" s="405">
        <v>14</v>
      </c>
      <c r="IV18" s="345" t="s">
        <v>2529</v>
      </c>
      <c r="IW18" s="444">
        <v>110.02</v>
      </c>
      <c r="IX18" s="463" t="s">
        <v>2945</v>
      </c>
      <c r="IY18" s="492">
        <v>4175</v>
      </c>
      <c r="IZ18" s="378"/>
      <c r="JA18" s="423"/>
      <c r="JB18" s="345" t="s">
        <v>2522</v>
      </c>
      <c r="JC18" s="61">
        <v>110.79</v>
      </c>
      <c r="JD18" s="506" t="s">
        <v>2924</v>
      </c>
      <c r="JE18" s="492">
        <v>3083</v>
      </c>
      <c r="JF18" s="378"/>
      <c r="JG18" s="423"/>
      <c r="JH18" s="345" t="s">
        <v>2919</v>
      </c>
      <c r="JI18" s="61">
        <v>30</v>
      </c>
      <c r="JJ18" s="549" t="s">
        <v>2924</v>
      </c>
      <c r="JK18" s="268">
        <v>99936</v>
      </c>
      <c r="JL18" s="378" t="s">
        <v>2698</v>
      </c>
      <c r="JM18" s="423">
        <f>228.82+344.82+65.55+23.84</f>
        <v>663.03</v>
      </c>
      <c r="JN18" s="345" t="s">
        <v>2527</v>
      </c>
      <c r="JO18" s="444">
        <v>157.54</v>
      </c>
      <c r="JP18" s="584" t="s">
        <v>2678</v>
      </c>
      <c r="JQ18" s="268">
        <v>0</v>
      </c>
      <c r="JR18" s="10" t="s">
        <v>2925</v>
      </c>
      <c r="JS18" s="640">
        <f>28.96</f>
        <v>28.96</v>
      </c>
      <c r="JT18" s="345" t="s">
        <v>1195</v>
      </c>
      <c r="JU18" s="61">
        <f>15+6.5</f>
        <v>21.5</v>
      </c>
      <c r="JV18" s="620" t="s">
        <v>2585</v>
      </c>
      <c r="JW18" s="268">
        <v>15</v>
      </c>
      <c r="JX18" s="9" t="s">
        <v>2771</v>
      </c>
      <c r="JY18" s="591">
        <f>65.16+2.55</f>
        <v>67.709999999999994</v>
      </c>
      <c r="JZ18" s="346" t="s">
        <v>2834</v>
      </c>
      <c r="KA18" s="61">
        <v>5.01</v>
      </c>
      <c r="KB18" s="708" t="s">
        <v>2585</v>
      </c>
      <c r="KC18" s="268">
        <v>14</v>
      </c>
      <c r="KD18" s="9" t="s">
        <v>2771</v>
      </c>
      <c r="KE18" s="591">
        <v>92.26</v>
      </c>
      <c r="KF18" s="345" t="s">
        <v>2732</v>
      </c>
      <c r="KG18" s="203">
        <v>10.8</v>
      </c>
      <c r="KH18" s="205" t="s">
        <v>2898</v>
      </c>
      <c r="KI18" s="359"/>
      <c r="KJ18" s="9" t="s">
        <v>2951</v>
      </c>
      <c r="KK18" s="591">
        <v>12.01</v>
      </c>
      <c r="KL18" s="772" t="s">
        <v>2984</v>
      </c>
      <c r="KM18" s="418">
        <v>147.75</v>
      </c>
      <c r="KN18" s="745" t="s">
        <v>2886</v>
      </c>
      <c r="KO18" s="492"/>
      <c r="KP18" s="9" t="s">
        <v>3042</v>
      </c>
      <c r="KQ18" s="423">
        <v>939.02</v>
      </c>
      <c r="KR18" s="263" t="s">
        <v>3064</v>
      </c>
      <c r="KS18" s="828">
        <v>25.8</v>
      </c>
      <c r="KT18" s="796" t="s">
        <v>2916</v>
      </c>
      <c r="KU18" s="268">
        <v>100832</v>
      </c>
      <c r="KV18" s="493">
        <v>45226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1884</v>
      </c>
      <c r="FV19" s="345" t="s">
        <v>1816</v>
      </c>
      <c r="FW19">
        <v>140.44999999999999</v>
      </c>
      <c r="FX19" s="1" t="s">
        <v>1899</v>
      </c>
      <c r="FY19" s="254">
        <v>39</v>
      </c>
      <c r="FZ19" s="60" t="s">
        <v>1883</v>
      </c>
      <c r="GB19" s="345" t="s">
        <v>1920</v>
      </c>
      <c r="GC19">
        <v>90.65</v>
      </c>
      <c r="GD19" s="1" t="s">
        <v>1899</v>
      </c>
      <c r="GE19" s="254">
        <v>33</v>
      </c>
      <c r="GH19" s="345" t="s">
        <v>1920</v>
      </c>
      <c r="GI19">
        <v>73.959999999999994</v>
      </c>
      <c r="GJ19" s="254" t="s">
        <v>1973</v>
      </c>
      <c r="GL19" s="60" t="s">
        <v>1972</v>
      </c>
      <c r="GN19" s="346" t="s">
        <v>1987</v>
      </c>
      <c r="GO19">
        <v>1867</v>
      </c>
      <c r="GP19" s="7" t="s">
        <v>1970</v>
      </c>
      <c r="GQ19">
        <v>2000.001</v>
      </c>
      <c r="GR19" t="s">
        <v>2046</v>
      </c>
      <c r="GS19">
        <v>1.1000000000000001</v>
      </c>
      <c r="GT19" s="345" t="s">
        <v>2074</v>
      </c>
      <c r="GU19" t="s">
        <v>2024</v>
      </c>
      <c r="GV19" s="1" t="s">
        <v>1898</v>
      </c>
      <c r="GW19" s="254">
        <v>745</v>
      </c>
      <c r="GZ19" s="345" t="s">
        <v>2071</v>
      </c>
      <c r="HA19">
        <v>77.3</v>
      </c>
      <c r="HB19" s="7" t="s">
        <v>1970</v>
      </c>
      <c r="HC19">
        <v>2041</v>
      </c>
      <c r="HD19" t="s">
        <v>2119</v>
      </c>
      <c r="HE19">
        <v>106.89</v>
      </c>
      <c r="HF19" s="346" t="s">
        <v>2091</v>
      </c>
      <c r="HG19">
        <v>12</v>
      </c>
      <c r="HH19" s="1" t="s">
        <v>2094</v>
      </c>
      <c r="HI19" s="254" t="s">
        <v>2095</v>
      </c>
      <c r="HJ19" s="391">
        <v>1580.64</v>
      </c>
      <c r="HK19" s="377" t="s">
        <v>2117</v>
      </c>
      <c r="HL19" s="337" t="s">
        <v>2158</v>
      </c>
      <c r="HM19">
        <v>20</v>
      </c>
      <c r="HN19" s="254" t="s">
        <v>2021</v>
      </c>
      <c r="HR19" s="345" t="s">
        <v>2196</v>
      </c>
      <c r="HS19">
        <v>160</v>
      </c>
      <c r="HT19" s="66" t="s">
        <v>2168</v>
      </c>
      <c r="HU19">
        <v>0</v>
      </c>
      <c r="HV19" s="378" t="s">
        <v>2239</v>
      </c>
      <c r="HW19" s="402">
        <v>18.8</v>
      </c>
      <c r="HX19" s="345" t="s">
        <v>1816</v>
      </c>
      <c r="HY19">
        <v>112.57</v>
      </c>
      <c r="HZ19" s="66" t="s">
        <v>2265</v>
      </c>
      <c r="IA19">
        <v>12000</v>
      </c>
      <c r="IB19" s="412" t="s">
        <v>2268</v>
      </c>
      <c r="IC19" s="413">
        <v>146.22999999999999</v>
      </c>
      <c r="ID19" s="345" t="s">
        <v>1920</v>
      </c>
      <c r="IE19" s="383">
        <v>16.18</v>
      </c>
      <c r="IF19" s="66" t="s">
        <v>2923</v>
      </c>
      <c r="IG19" s="2">
        <v>2234</v>
      </c>
      <c r="IH19" t="s">
        <v>2330</v>
      </c>
      <c r="II19" s="405">
        <v>35.67</v>
      </c>
      <c r="IJ19" s="345" t="s">
        <v>2282</v>
      </c>
      <c r="IK19">
        <v>114.44</v>
      </c>
      <c r="IL19" s="66" t="s">
        <v>2357</v>
      </c>
      <c r="IM19">
        <f>10502+14002</f>
        <v>24504</v>
      </c>
      <c r="IN19" s="593" t="s">
        <v>2667</v>
      </c>
      <c r="IO19" s="405">
        <v>5</v>
      </c>
      <c r="IP19" s="345" t="s">
        <v>2440</v>
      </c>
      <c r="IQ19" s="61">
        <f>IM29</f>
        <v>21.35</v>
      </c>
      <c r="IR19" s="1" t="s">
        <v>2394</v>
      </c>
      <c r="IS19">
        <v>170</v>
      </c>
      <c r="IT19" s="379" t="s">
        <v>2531</v>
      </c>
      <c r="IU19" s="423">
        <v>6</v>
      </c>
      <c r="IV19" s="345" t="s">
        <v>2153</v>
      </c>
      <c r="IW19" s="61">
        <f>9</f>
        <v>9</v>
      </c>
      <c r="IX19" s="501" t="s">
        <v>2525</v>
      </c>
      <c r="IY19" s="268">
        <v>10</v>
      </c>
      <c r="IZ19" s="540"/>
      <c r="JA19" s="540"/>
      <c r="JB19" s="345" t="s">
        <v>2602</v>
      </c>
      <c r="JC19" s="61">
        <v>109.57</v>
      </c>
      <c r="JD19" s="527" t="s">
        <v>2572</v>
      </c>
      <c r="JE19" s="268">
        <v>0</v>
      </c>
      <c r="JF19" s="563"/>
      <c r="JG19" s="563"/>
      <c r="JH19" s="345" t="s">
        <v>2527</v>
      </c>
      <c r="JI19" s="444">
        <v>115.37</v>
      </c>
      <c r="JJ19" s="549" t="s">
        <v>2572</v>
      </c>
      <c r="JK19" s="268">
        <v>0</v>
      </c>
      <c r="JL19" s="587" t="s">
        <v>2695</v>
      </c>
      <c r="JM19" s="587">
        <v>2</v>
      </c>
      <c r="JN19" s="345" t="s">
        <v>1195</v>
      </c>
      <c r="JO19" s="61">
        <f>15+6.5+30</f>
        <v>51.5</v>
      </c>
      <c r="JP19" s="584" t="s">
        <v>2585</v>
      </c>
      <c r="JQ19" s="268">
        <v>14</v>
      </c>
      <c r="JR19" s="11" t="s">
        <v>2926</v>
      </c>
      <c r="JS19" s="641">
        <f>183.29+65.98+58.65</f>
        <v>307.91999999999996</v>
      </c>
      <c r="JT19" s="345" t="s">
        <v>2682</v>
      </c>
      <c r="JU19" s="61">
        <f>9+14.32</f>
        <v>23.32</v>
      </c>
      <c r="JV19" s="619" t="s">
        <v>2582</v>
      </c>
      <c r="JW19" s="2">
        <v>240</v>
      </c>
      <c r="JX19" s="9" t="s">
        <v>2832</v>
      </c>
      <c r="JY19" s="591">
        <v>24.55</v>
      </c>
      <c r="JZ19" s="346" t="s">
        <v>2835</v>
      </c>
      <c r="KA19" s="649">
        <v>10.87</v>
      </c>
      <c r="KB19" s="707" t="s">
        <v>2582</v>
      </c>
      <c r="KC19" s="2">
        <v>220</v>
      </c>
      <c r="KD19" s="9" t="s">
        <v>2833</v>
      </c>
      <c r="KE19" s="591">
        <v>31.03</v>
      </c>
      <c r="KF19" s="345" t="s">
        <v>2311</v>
      </c>
      <c r="KG19" s="61">
        <f>14.89+17.36+13.36+15.59+10+15.78+15.59</f>
        <v>102.57000000000001</v>
      </c>
      <c r="KH19" s="746" t="s">
        <v>1094</v>
      </c>
      <c r="KI19" s="399">
        <v>-1680</v>
      </c>
      <c r="KJ19" s="746" t="s">
        <v>2926</v>
      </c>
      <c r="KK19" s="591">
        <f>135.77+48.88+27.16</f>
        <v>211.81</v>
      </c>
      <c r="KL19" s="143" t="s">
        <v>2979</v>
      </c>
      <c r="KM19" s="418">
        <f>1413.64/10</f>
        <v>141.364</v>
      </c>
      <c r="KN19" s="320" t="s">
        <v>3006</v>
      </c>
      <c r="KO19" s="380">
        <v>-114.8</v>
      </c>
      <c r="KP19" s="9" t="s">
        <v>3022</v>
      </c>
      <c r="KQ19" s="423">
        <v>14.02</v>
      </c>
      <c r="KR19" s="333" t="s">
        <v>1863</v>
      </c>
      <c r="KS19" s="529"/>
      <c r="KT19" s="830" t="s">
        <v>3003</v>
      </c>
      <c r="KU19" s="268">
        <v>221799</v>
      </c>
      <c r="KV19" s="493" t="s">
        <v>3105</v>
      </c>
      <c r="KW19" s="268"/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64" t="s">
        <v>1867</v>
      </c>
      <c r="FU20">
        <v>1200</v>
      </c>
      <c r="FV20" s="345" t="s">
        <v>1195</v>
      </c>
      <c r="FW20">
        <f>6.5+15</f>
        <v>21.5</v>
      </c>
      <c r="FX20" s="1" t="s">
        <v>1900</v>
      </c>
      <c r="FY20" s="272">
        <v>209</v>
      </c>
      <c r="FZ20" t="s">
        <v>1944</v>
      </c>
      <c r="GA20">
        <f>207-202</f>
        <v>5</v>
      </c>
      <c r="GB20" s="345" t="s">
        <v>1938</v>
      </c>
      <c r="GC20">
        <v>126.93</v>
      </c>
      <c r="GD20" s="1" t="s">
        <v>1900</v>
      </c>
      <c r="GE20" s="272">
        <v>1202</v>
      </c>
      <c r="GF20" t="s">
        <v>1578</v>
      </c>
      <c r="GG20" s="242"/>
      <c r="GH20" s="345" t="s">
        <v>1938</v>
      </c>
      <c r="GI20">
        <v>95.54</v>
      </c>
      <c r="GJ20" s="1" t="s">
        <v>1898</v>
      </c>
      <c r="GK20" s="254">
        <v>744</v>
      </c>
      <c r="GL20" t="s">
        <v>1869</v>
      </c>
      <c r="GM20">
        <f>1966-2002</f>
        <v>-36</v>
      </c>
      <c r="GN20" s="345" t="s">
        <v>1996</v>
      </c>
      <c r="GO20" t="s">
        <v>1995</v>
      </c>
      <c r="GP20" s="1" t="s">
        <v>1898</v>
      </c>
      <c r="GQ20" s="254">
        <v>745</v>
      </c>
      <c r="GR20" s="574" t="s">
        <v>2642</v>
      </c>
      <c r="GS20">
        <v>128.33000000000001</v>
      </c>
      <c r="GT20" s="345" t="s">
        <v>1816</v>
      </c>
      <c r="GU20">
        <v>140.44999999999999</v>
      </c>
      <c r="GV20" s="1" t="s">
        <v>1899</v>
      </c>
      <c r="GW20" s="254">
        <v>33</v>
      </c>
      <c r="GZ20" s="345" t="s">
        <v>2074</v>
      </c>
      <c r="HA20">
        <v>97.12</v>
      </c>
      <c r="HB20" s="1" t="s">
        <v>1898</v>
      </c>
      <c r="HC20" s="254">
        <v>827</v>
      </c>
      <c r="HF20" s="345" t="s">
        <v>2040</v>
      </c>
      <c r="HG20" s="383">
        <f>2525.92/6</f>
        <v>420.98666666666668</v>
      </c>
      <c r="HH20" s="1" t="s">
        <v>1983</v>
      </c>
      <c r="HI20" s="272">
        <v>3000</v>
      </c>
      <c r="HJ20" s="392">
        <f>SUM(HJ15:HJ19)</f>
        <v>4926.7800000000007</v>
      </c>
      <c r="HK20" s="377" t="s">
        <v>2121</v>
      </c>
      <c r="HL20" s="337" t="s">
        <v>2123</v>
      </c>
      <c r="HM20">
        <v>33.5</v>
      </c>
      <c r="HN20" s="7" t="s">
        <v>1970</v>
      </c>
      <c r="HO20">
        <v>1000</v>
      </c>
      <c r="HR20" s="345" t="s">
        <v>2195</v>
      </c>
      <c r="HS20">
        <v>42.65</v>
      </c>
      <c r="HT20" s="66" t="s">
        <v>2916</v>
      </c>
      <c r="HU20">
        <v>2063</v>
      </c>
      <c r="HV20" s="379"/>
      <c r="HW20" s="401"/>
      <c r="HX20" s="345" t="s">
        <v>1195</v>
      </c>
      <c r="HY20">
        <f>6.5+15+10+6.7</f>
        <v>38.200000000000003</v>
      </c>
      <c r="HZ20" s="66" t="s">
        <v>2264</v>
      </c>
      <c r="IB20" s="415" t="s">
        <v>2269</v>
      </c>
      <c r="IC20" s="416">
        <v>626.70000000000005</v>
      </c>
      <c r="ID20" s="345" t="s">
        <v>2141</v>
      </c>
      <c r="IE20" s="383" t="s">
        <v>2345</v>
      </c>
      <c r="IF20" s="66" t="s">
        <v>2212</v>
      </c>
      <c r="IG20" s="2">
        <v>60000</v>
      </c>
      <c r="IH20" t="s">
        <v>2333</v>
      </c>
      <c r="II20">
        <f>18*2</f>
        <v>36</v>
      </c>
      <c r="IJ20" s="345" t="s">
        <v>1195</v>
      </c>
      <c r="IK20">
        <f>6.5+15</f>
        <v>21.5</v>
      </c>
      <c r="IL20" s="66" t="s">
        <v>2212</v>
      </c>
      <c r="IM20" s="2">
        <v>60000</v>
      </c>
      <c r="IN20" s="455"/>
      <c r="IO20" s="405"/>
      <c r="IP20" s="345" t="s">
        <v>2311</v>
      </c>
      <c r="IQ20" s="61">
        <f>17.6+10+15.04+18.67+17.63+10+18.43+12.51+10+16.42</f>
        <v>146.30000000000001</v>
      </c>
      <c r="IR20" s="432" t="s">
        <v>2431</v>
      </c>
      <c r="IT20" s="378"/>
      <c r="IU20" s="423"/>
      <c r="IV20" s="345" t="s">
        <v>2311</v>
      </c>
      <c r="IW20" s="61">
        <f>15.7+10+18.29+10+10+15.09+18.53+17.55+15.01+10+16.79</f>
        <v>156.95999999999998</v>
      </c>
      <c r="IX20" s="464" t="s">
        <v>2454</v>
      </c>
      <c r="IY20" s="460">
        <v>190</v>
      </c>
      <c r="IZ20" s="378"/>
      <c r="JA20" s="423"/>
      <c r="JB20" s="345" t="s">
        <v>2948</v>
      </c>
      <c r="JC20" s="61">
        <f>10+30</f>
        <v>40</v>
      </c>
      <c r="JD20" s="506" t="s">
        <v>2585</v>
      </c>
      <c r="JE20" s="268">
        <v>10</v>
      </c>
      <c r="JF20" s="378"/>
      <c r="JG20" s="423"/>
      <c r="JH20" s="345" t="s">
        <v>1195</v>
      </c>
      <c r="JI20" s="61">
        <f>6.5+15</f>
        <v>21.5</v>
      </c>
      <c r="JJ20" s="584" t="s">
        <v>2650</v>
      </c>
      <c r="JK20" s="471">
        <v>44.23</v>
      </c>
      <c r="JL20" s="378"/>
      <c r="JM20" s="423"/>
      <c r="JN20" s="345" t="s">
        <v>2682</v>
      </c>
      <c r="JO20" s="61">
        <f>9+14.32</f>
        <v>23.32</v>
      </c>
      <c r="JP20" s="583" t="s">
        <v>2582</v>
      </c>
      <c r="JQ20" s="2">
        <v>210</v>
      </c>
      <c r="JR20" s="11" t="s">
        <v>2721</v>
      </c>
      <c r="JS20" s="642">
        <v>15.42</v>
      </c>
      <c r="JT20" s="345" t="s">
        <v>2658</v>
      </c>
      <c r="JU20" s="203">
        <f>64+64+3</f>
        <v>131</v>
      </c>
      <c r="JV20" s="619" t="s">
        <v>2581</v>
      </c>
      <c r="JW20" s="272"/>
      <c r="JX20" s="9" t="s">
        <v>2821</v>
      </c>
      <c r="JY20" s="591">
        <v>27.05</v>
      </c>
      <c r="JZ20" s="245" t="s">
        <v>2725</v>
      </c>
      <c r="KA20" s="405">
        <v>1347.2</v>
      </c>
      <c r="KB20" s="707" t="s">
        <v>2581</v>
      </c>
      <c r="KC20" s="2"/>
      <c r="KD20" s="9" t="s">
        <v>2928</v>
      </c>
      <c r="KE20" s="591" t="s">
        <v>2897</v>
      </c>
      <c r="KF20" s="337" t="s">
        <v>2883</v>
      </c>
      <c r="KG20" s="61">
        <v>10</v>
      </c>
      <c r="KH20" s="205" t="s">
        <v>2890</v>
      </c>
      <c r="KI20" s="740">
        <f>KH21-0.99*195000</f>
        <v>-242</v>
      </c>
      <c r="KJ20" s="9" t="s">
        <v>3011</v>
      </c>
      <c r="KK20" s="591">
        <v>33</v>
      </c>
      <c r="KL20" s="143" t="s">
        <v>3057</v>
      </c>
      <c r="KM20" s="321">
        <v>198.07</v>
      </c>
      <c r="KN20" s="746" t="s">
        <v>3007</v>
      </c>
      <c r="KO20" s="399">
        <v>-425</v>
      </c>
      <c r="KP20" s="828" t="s">
        <v>3065</v>
      </c>
      <c r="KQ20" s="827">
        <v>200</v>
      </c>
      <c r="KR20" s="245" t="s">
        <v>3015</v>
      </c>
      <c r="KS20" s="405">
        <f>1363.36-KS21</f>
        <v>1223.29</v>
      </c>
      <c r="KT20" s="792" t="s">
        <v>2854</v>
      </c>
      <c r="KU20" s="399">
        <v>0</v>
      </c>
      <c r="KV20" s="493">
        <v>45228</v>
      </c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885" t="s">
        <v>507</v>
      </c>
      <c r="N21" s="885"/>
      <c r="Q21" s="166" t="s">
        <v>365</v>
      </c>
      <c r="S21" s="885" t="s">
        <v>507</v>
      </c>
      <c r="T21" s="885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882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1868</v>
      </c>
      <c r="FU21">
        <v>200</v>
      </c>
      <c r="FV21" s="345" t="s">
        <v>1907</v>
      </c>
      <c r="FW21">
        <v>10.96</v>
      </c>
      <c r="FX21" s="1" t="s">
        <v>1701</v>
      </c>
      <c r="FY21" s="272">
        <v>3000</v>
      </c>
      <c r="FZ21" t="s">
        <v>1943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1899</v>
      </c>
      <c r="GK21" s="254">
        <v>33</v>
      </c>
      <c r="GL21" t="s">
        <v>1869</v>
      </c>
      <c r="GM21">
        <f>819.61-808</f>
        <v>11.610000000000014</v>
      </c>
      <c r="GN21" s="345" t="s">
        <v>1938</v>
      </c>
      <c r="GO21">
        <v>111.54</v>
      </c>
      <c r="GP21" s="1" t="s">
        <v>1899</v>
      </c>
      <c r="GQ21" s="254">
        <v>33</v>
      </c>
      <c r="GR21" s="573" t="s">
        <v>2641</v>
      </c>
      <c r="GS21" s="242"/>
      <c r="GT21" s="345" t="s">
        <v>2124</v>
      </c>
      <c r="GU21">
        <f>9.01+15+6.5</f>
        <v>30.509999999999998</v>
      </c>
      <c r="GV21" s="1" t="s">
        <v>1900</v>
      </c>
      <c r="GW21" s="272">
        <v>48</v>
      </c>
      <c r="GX21" s="60"/>
      <c r="GZ21" s="345" t="s">
        <v>1816</v>
      </c>
      <c r="HA21">
        <v>140.44999999999999</v>
      </c>
      <c r="HB21" s="1" t="s">
        <v>1899</v>
      </c>
      <c r="HC21" s="254">
        <v>0</v>
      </c>
      <c r="HD21" t="s">
        <v>2152</v>
      </c>
      <c r="HF21" s="345" t="s">
        <v>2108</v>
      </c>
      <c r="HG21" s="6">
        <v>85</v>
      </c>
      <c r="HH21" s="1" t="s">
        <v>1984</v>
      </c>
      <c r="HI21" s="272">
        <v>4000</v>
      </c>
      <c r="HK21" s="377"/>
      <c r="HL21" s="337" t="s">
        <v>2134</v>
      </c>
      <c r="HM21">
        <v>48.88</v>
      </c>
      <c r="HN21" s="1" t="s">
        <v>1983</v>
      </c>
      <c r="HO21" s="272">
        <v>3000</v>
      </c>
      <c r="HR21" s="345" t="s">
        <v>2194</v>
      </c>
      <c r="HS21">
        <v>64</v>
      </c>
      <c r="HT21" s="66" t="s">
        <v>2170</v>
      </c>
      <c r="HU21">
        <f>5000+5000+5000</f>
        <v>15000</v>
      </c>
      <c r="HW21" s="401"/>
      <c r="HX21" s="345" t="s">
        <v>1012</v>
      </c>
      <c r="HY21">
        <f>9</f>
        <v>9</v>
      </c>
      <c r="HZ21" s="403" t="s">
        <v>2219</v>
      </c>
      <c r="IA21" s="418">
        <v>345026.96</v>
      </c>
      <c r="IB21" s="419" t="s">
        <v>2269</v>
      </c>
      <c r="IC21" s="420">
        <v>598.5</v>
      </c>
      <c r="ID21" s="345" t="s">
        <v>2346</v>
      </c>
      <c r="IE21" s="142">
        <v>137.03</v>
      </c>
      <c r="IF21" s="66" t="s">
        <v>2213</v>
      </c>
      <c r="IG21" s="2">
        <v>50001</v>
      </c>
      <c r="IH21" t="s">
        <v>2339</v>
      </c>
      <c r="II21">
        <v>18</v>
      </c>
      <c r="IJ21" s="345" t="s">
        <v>2153</v>
      </c>
      <c r="IK21">
        <v>9</v>
      </c>
      <c r="IL21" s="403" t="s">
        <v>2219</v>
      </c>
      <c r="IM21" s="242">
        <v>65005</v>
      </c>
      <c r="IN21" s="455"/>
      <c r="IO21" s="405"/>
      <c r="IP21" s="337" t="s">
        <v>2438</v>
      </c>
      <c r="IQ21" s="61">
        <v>30</v>
      </c>
      <c r="IR21" s="7" t="s">
        <v>2393</v>
      </c>
      <c r="IS21">
        <v>2007</v>
      </c>
      <c r="IT21" s="379"/>
      <c r="IV21" s="337" t="s">
        <v>2514</v>
      </c>
      <c r="IW21" s="61">
        <v>80</v>
      </c>
      <c r="IX21" s="466" t="s">
        <v>2393</v>
      </c>
      <c r="IY21" s="460">
        <v>2013</v>
      </c>
      <c r="IZ21" s="378"/>
      <c r="JA21" s="423"/>
      <c r="JB21" s="345" t="s">
        <v>2527</v>
      </c>
      <c r="JC21" s="444">
        <v>115.37</v>
      </c>
      <c r="JD21" s="541" t="s">
        <v>2582</v>
      </c>
      <c r="JE21" s="502">
        <v>130</v>
      </c>
      <c r="JF21" s="378"/>
      <c r="JG21" s="423"/>
      <c r="JH21" s="345" t="s">
        <v>2629</v>
      </c>
      <c r="JI21" s="61">
        <v>27</v>
      </c>
      <c r="JJ21" s="549" t="s">
        <v>2585</v>
      </c>
      <c r="JK21" s="492">
        <v>10</v>
      </c>
      <c r="JN21" s="345" t="s">
        <v>2311</v>
      </c>
      <c r="JO21" s="61">
        <f>11.94+10+20.54+17.31+14.45+15.78+10</f>
        <v>100.02</v>
      </c>
      <c r="JP21" s="583" t="s">
        <v>2581</v>
      </c>
      <c r="JQ21" s="2"/>
      <c r="JR21" s="643" t="s">
        <v>2720</v>
      </c>
      <c r="JS21" s="644">
        <f>783.33+1167.38+1493.5+2179.3</f>
        <v>5623.51</v>
      </c>
      <c r="JT21" s="345" t="s">
        <v>2732</v>
      </c>
      <c r="JU21" s="203">
        <v>6.97</v>
      </c>
      <c r="JV21" s="621" t="s">
        <v>2393</v>
      </c>
      <c r="JW21" s="2">
        <v>1000</v>
      </c>
      <c r="JX21" s="9" t="s">
        <v>2929</v>
      </c>
      <c r="JY21" s="591">
        <v>13.23</v>
      </c>
      <c r="JZ21" s="245" t="s">
        <v>2846</v>
      </c>
      <c r="KA21" s="405">
        <v>1322.98</v>
      </c>
      <c r="KB21" s="709" t="s">
        <v>2393</v>
      </c>
      <c r="KC21" s="2">
        <v>1000</v>
      </c>
      <c r="KD21" s="713" t="s">
        <v>2930</v>
      </c>
      <c r="KE21" s="423">
        <f>63.91+71.9+199.73+2.07</f>
        <v>337.60999999999996</v>
      </c>
      <c r="KF21" s="337" t="s">
        <v>2894</v>
      </c>
      <c r="KG21" s="61">
        <v>108.001</v>
      </c>
      <c r="KH21" s="736">
        <v>192808</v>
      </c>
      <c r="KI21" s="744"/>
      <c r="KJ21" s="9" t="s">
        <v>2927</v>
      </c>
      <c r="KK21" s="591">
        <v>20.67</v>
      </c>
      <c r="KL21" s="143" t="s">
        <v>2463</v>
      </c>
      <c r="KM21" s="61">
        <v>81.91</v>
      </c>
      <c r="KN21" s="205" t="s">
        <v>2903</v>
      </c>
      <c r="KO21" s="2">
        <f>KN22-0.99*195000</f>
        <v>-55900</v>
      </c>
      <c r="KP21" s="828"/>
      <c r="KQ21" s="827"/>
      <c r="KR21" s="143" t="s">
        <v>3016</v>
      </c>
      <c r="KS21" s="418">
        <v>140.07</v>
      </c>
      <c r="KT21" s="794" t="s">
        <v>2886</v>
      </c>
      <c r="KU21" s="492"/>
      <c r="KV21" s="493"/>
      <c r="KW21" s="399"/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883" t="s">
        <v>990</v>
      </c>
      <c r="N22" s="883"/>
      <c r="Q22" s="166" t="s">
        <v>369</v>
      </c>
      <c r="S22" s="883" t="s">
        <v>990</v>
      </c>
      <c r="T22" s="883"/>
      <c r="W22" s="244" t="s">
        <v>1019</v>
      </c>
      <c r="X22" s="142">
        <v>0</v>
      </c>
      <c r="Y22" s="885" t="s">
        <v>507</v>
      </c>
      <c r="Z22" s="885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882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1882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1972</v>
      </c>
      <c r="GH22" s="345" t="s">
        <v>1195</v>
      </c>
      <c r="GI22">
        <f>13+30</f>
        <v>43</v>
      </c>
      <c r="GJ22" s="1" t="s">
        <v>1900</v>
      </c>
      <c r="GK22" s="272">
        <v>182</v>
      </c>
      <c r="GL22" s="60"/>
      <c r="GN22" s="345" t="s">
        <v>1816</v>
      </c>
      <c r="GO22">
        <v>140.44999999999999</v>
      </c>
      <c r="GP22" s="1" t="s">
        <v>1900</v>
      </c>
      <c r="GQ22" s="272">
        <v>2148</v>
      </c>
      <c r="GS22" s="242"/>
      <c r="GT22" s="345" t="s">
        <v>1907</v>
      </c>
      <c r="GU22">
        <v>10.96</v>
      </c>
      <c r="GV22" s="1" t="s">
        <v>1983</v>
      </c>
      <c r="GW22" s="272">
        <v>3000</v>
      </c>
      <c r="GZ22" s="345" t="s">
        <v>2125</v>
      </c>
      <c r="HA22">
        <f>10.96+9.01+6.5+15</f>
        <v>41.47</v>
      </c>
      <c r="HB22" s="1" t="s">
        <v>1900</v>
      </c>
      <c r="HC22" s="272">
        <v>0</v>
      </c>
      <c r="HD22" s="60" t="s">
        <v>2096</v>
      </c>
      <c r="HE22">
        <v>10</v>
      </c>
      <c r="HF22" s="345" t="s">
        <v>2074</v>
      </c>
      <c r="HG22">
        <v>16.71</v>
      </c>
      <c r="HH22" s="1" t="s">
        <v>1985</v>
      </c>
      <c r="HI22" s="272">
        <v>25000</v>
      </c>
      <c r="HK22" s="377"/>
      <c r="HL22" s="337" t="s">
        <v>2144</v>
      </c>
      <c r="HM22">
        <v>115.9</v>
      </c>
      <c r="HN22" s="1" t="s">
        <v>2137</v>
      </c>
      <c r="HO22" s="272">
        <v>4000</v>
      </c>
      <c r="HR22" s="345" t="s">
        <v>2199</v>
      </c>
      <c r="HS22">
        <v>10</v>
      </c>
      <c r="HT22" s="66" t="s">
        <v>2171</v>
      </c>
      <c r="HU22">
        <f>5002+10000+5002+10002+5000</f>
        <v>35006</v>
      </c>
      <c r="HW22" s="377"/>
      <c r="HX22" s="345" t="s">
        <v>2215</v>
      </c>
      <c r="HY22">
        <v>64</v>
      </c>
      <c r="HZ22" s="66" t="s">
        <v>2916</v>
      </c>
      <c r="IA22" s="272">
        <v>2000</v>
      </c>
      <c r="IB22" s="421" t="s">
        <v>2267</v>
      </c>
      <c r="IC22" s="422">
        <f>19.95*3</f>
        <v>59.849999999999994</v>
      </c>
      <c r="ID22" s="345" t="s">
        <v>2282</v>
      </c>
      <c r="IE22">
        <v>167</v>
      </c>
      <c r="IF22" s="1" t="s">
        <v>2229</v>
      </c>
      <c r="IG22" s="272">
        <v>-80000</v>
      </c>
      <c r="IH22" t="s">
        <v>2941</v>
      </c>
      <c r="II22">
        <f>9.86*4</f>
        <v>39.44</v>
      </c>
      <c r="IJ22" s="345" t="s">
        <v>2209</v>
      </c>
      <c r="IK22">
        <v>64</v>
      </c>
      <c r="IL22" s="66" t="s">
        <v>2923</v>
      </c>
      <c r="IM22" s="268">
        <v>2190</v>
      </c>
      <c r="IN22" s="458"/>
      <c r="IO22" s="405"/>
      <c r="IP22" s="337" t="s">
        <v>2414</v>
      </c>
      <c r="IQ22" s="61">
        <v>10</v>
      </c>
      <c r="IR22" s="447" t="s">
        <v>2417</v>
      </c>
      <c r="IS22" s="446"/>
      <c r="IT22" s="837" t="s">
        <v>2136</v>
      </c>
      <c r="IU22" s="837"/>
      <c r="IV22" s="337" t="s">
        <v>2506</v>
      </c>
      <c r="IW22" s="61">
        <v>42.51</v>
      </c>
      <c r="IX22" s="465" t="s">
        <v>2417</v>
      </c>
      <c r="IZ22" s="378"/>
      <c r="JA22" s="423"/>
      <c r="JB22" s="345" t="s">
        <v>1195</v>
      </c>
      <c r="JC22" s="61">
        <f>13+30</f>
        <v>43</v>
      </c>
      <c r="JD22" s="505" t="s">
        <v>2581</v>
      </c>
      <c r="JH22" s="345" t="s">
        <v>2153</v>
      </c>
      <c r="JI22" s="61">
        <f>9+14.32</f>
        <v>23.32</v>
      </c>
      <c r="JJ22" s="548" t="s">
        <v>2582</v>
      </c>
      <c r="JK22" s="545">
        <v>230</v>
      </c>
      <c r="JL22" s="378"/>
      <c r="JM22" s="423"/>
      <c r="JN22" s="337" t="s">
        <v>2942</v>
      </c>
      <c r="JO22" s="2">
        <v>2953</v>
      </c>
      <c r="JP22" s="585" t="s">
        <v>2393</v>
      </c>
      <c r="JQ22" s="2">
        <v>1000</v>
      </c>
      <c r="JR22" s="643" t="s">
        <v>2727</v>
      </c>
      <c r="JS22" s="644"/>
      <c r="JT22" s="345" t="s">
        <v>2311</v>
      </c>
      <c r="JU22" s="61">
        <f>17.57+15.78+10+10+16.81+16.4+1.52+17.15+1.19+10.85</f>
        <v>117.26999999999998</v>
      </c>
      <c r="JV22" s="618" t="s">
        <v>2417</v>
      </c>
      <c r="JW22" s="61"/>
      <c r="JX22" s="9" t="s">
        <v>2931</v>
      </c>
      <c r="JY22" s="591">
        <v>31.96</v>
      </c>
      <c r="JZ22" s="245" t="s">
        <v>2836</v>
      </c>
      <c r="KA22" s="405">
        <v>1730.87</v>
      </c>
      <c r="KB22" s="706" t="s">
        <v>2411</v>
      </c>
      <c r="KC22" s="61"/>
      <c r="KD22" s="721" t="s">
        <v>2892</v>
      </c>
      <c r="KE22" s="423">
        <f>7000*(1-98.14%)</f>
        <v>130.19999999999965</v>
      </c>
      <c r="KF22" s="337" t="s">
        <v>2871</v>
      </c>
      <c r="KG22" s="700">
        <v>135.69999999999999</v>
      </c>
      <c r="KH22" s="743" t="s">
        <v>2673</v>
      </c>
      <c r="KI22" s="268">
        <v>2600</v>
      </c>
      <c r="KJ22" s="9" t="s">
        <v>2901</v>
      </c>
      <c r="KK22" s="423">
        <v>380.32</v>
      </c>
      <c r="KL22" s="143" t="s">
        <v>1195</v>
      </c>
      <c r="KM22" s="61">
        <f>6.5+15</f>
        <v>21.5</v>
      </c>
      <c r="KN22" s="736">
        <v>137150</v>
      </c>
      <c r="KO22" s="744"/>
      <c r="KP22" s="817" t="s">
        <v>3045</v>
      </c>
      <c r="KQ22" s="816">
        <f>30000*(1-0.9807)</f>
        <v>578.99999999999955</v>
      </c>
      <c r="KR22" s="143" t="s">
        <v>3056</v>
      </c>
      <c r="KS22" s="321">
        <v>170.22</v>
      </c>
      <c r="KT22" s="795" t="s">
        <v>3007</v>
      </c>
      <c r="KU22" s="399">
        <v>-354</v>
      </c>
      <c r="KV22" s="493" t="s">
        <v>3092</v>
      </c>
      <c r="KW22" s="399"/>
    </row>
    <row r="23" spans="1:309">
      <c r="A23" s="885" t="s">
        <v>507</v>
      </c>
      <c r="B23" s="885"/>
      <c r="E23" s="164" t="s">
        <v>237</v>
      </c>
      <c r="F23" s="166"/>
      <c r="G23" s="885" t="s">
        <v>507</v>
      </c>
      <c r="H23" s="885"/>
      <c r="K23" s="244" t="s">
        <v>1019</v>
      </c>
      <c r="L23" s="142">
        <v>0</v>
      </c>
      <c r="M23" s="860"/>
      <c r="N23" s="860"/>
      <c r="Q23" s="166" t="s">
        <v>1056</v>
      </c>
      <c r="S23" s="860"/>
      <c r="T23" s="860"/>
      <c r="W23" s="244" t="s">
        <v>1027</v>
      </c>
      <c r="X23" s="205">
        <v>0</v>
      </c>
      <c r="Y23" s="883" t="s">
        <v>990</v>
      </c>
      <c r="Z23" s="883"/>
      <c r="AC23"/>
      <c r="AE23" s="885" t="s">
        <v>507</v>
      </c>
      <c r="AF23" s="885"/>
      <c r="AI23"/>
      <c r="AK23" s="885" t="s">
        <v>507</v>
      </c>
      <c r="AL23" s="885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881" t="s">
        <v>1536</v>
      </c>
      <c r="EF23" s="881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882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882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1883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1907</v>
      </c>
      <c r="GC23">
        <v>10.96</v>
      </c>
      <c r="GD23" s="1" t="s">
        <v>1757</v>
      </c>
      <c r="GE23" s="272">
        <v>25000</v>
      </c>
      <c r="GF23" t="s">
        <v>1869</v>
      </c>
      <c r="GG23">
        <f>990.58-1001</f>
        <v>-10.419999999999959</v>
      </c>
      <c r="GH23" s="345" t="s">
        <v>1907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1983</v>
      </c>
      <c r="GQ23" s="272">
        <v>3000</v>
      </c>
      <c r="GR23" s="60" t="s">
        <v>2020</v>
      </c>
      <c r="GT23" s="345" t="s">
        <v>1537</v>
      </c>
      <c r="GU23">
        <v>64</v>
      </c>
      <c r="GV23" s="1" t="s">
        <v>1984</v>
      </c>
      <c r="GW23" s="272">
        <v>4000</v>
      </c>
      <c r="GZ23" s="345" t="s">
        <v>2126</v>
      </c>
      <c r="HA23">
        <f>10+2.2</f>
        <v>12.2</v>
      </c>
      <c r="HB23" s="1" t="s">
        <v>1983</v>
      </c>
      <c r="HC23" s="272">
        <v>3000</v>
      </c>
      <c r="HD23" t="s">
        <v>2115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7" t="s">
        <v>2136</v>
      </c>
      <c r="HK23" s="837"/>
      <c r="HL23" s="337" t="s">
        <v>2143</v>
      </c>
      <c r="HM23">
        <v>57.3</v>
      </c>
      <c r="HN23" s="1" t="s">
        <v>1985</v>
      </c>
      <c r="HO23" s="272">
        <v>25000</v>
      </c>
      <c r="HR23" s="345" t="s">
        <v>1956</v>
      </c>
      <c r="HS23" s="387">
        <f>16.5+14.09+10+1.34+13.21+16.39+15.89+17.3</f>
        <v>104.72</v>
      </c>
      <c r="HT23" s="66" t="s">
        <v>2181</v>
      </c>
      <c r="HU23">
        <f>5002+10000+10000+5000</f>
        <v>30002</v>
      </c>
      <c r="HV23" s="837" t="s">
        <v>2136</v>
      </c>
      <c r="HW23" s="837"/>
      <c r="HX23" s="345" t="s">
        <v>2251</v>
      </c>
      <c r="HY23">
        <v>30</v>
      </c>
      <c r="HZ23" s="66" t="s">
        <v>2212</v>
      </c>
      <c r="IA23" s="2">
        <v>60000.04</v>
      </c>
      <c r="IB23" s="379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2922</v>
      </c>
      <c r="II23">
        <f>2.74+2.52+1.19*2</f>
        <v>7.64</v>
      </c>
      <c r="IJ23" s="345" t="s">
        <v>2311</v>
      </c>
      <c r="IK23" s="387">
        <f>20.75+15.85+16.8+10+21.56+17.42+14.05+10</f>
        <v>126.43</v>
      </c>
      <c r="IL23" s="1" t="s">
        <v>2389</v>
      </c>
      <c r="IM23">
        <v>150</v>
      </c>
      <c r="IN23" s="458"/>
      <c r="IO23" s="405"/>
      <c r="IP23" s="337" t="s">
        <v>1872</v>
      </c>
      <c r="IQ23" s="61">
        <v>80</v>
      </c>
      <c r="IR23" s="253" t="s">
        <v>2411</v>
      </c>
      <c r="IS23" s="278"/>
      <c r="IT23" s="351" t="s">
        <v>1929</v>
      </c>
      <c r="IU23" s="273">
        <f>SUM(IW7:IW9)</f>
        <v>3911.02</v>
      </c>
      <c r="IV23" s="337" t="s">
        <v>2521</v>
      </c>
      <c r="IW23" s="61">
        <v>45.98</v>
      </c>
      <c r="IX23" s="465"/>
      <c r="IZ23" s="379"/>
      <c r="JA23" s="528"/>
      <c r="JB23" s="345" t="s">
        <v>2153</v>
      </c>
      <c r="JC23" s="61">
        <f>9+14.32</f>
        <v>23.32</v>
      </c>
      <c r="JD23" s="507" t="s">
        <v>2393</v>
      </c>
      <c r="JE23" s="502">
        <v>1000</v>
      </c>
      <c r="JF23" s="378"/>
      <c r="JG23" s="423"/>
      <c r="JH23" s="566" t="s">
        <v>2630</v>
      </c>
      <c r="JI23" s="443">
        <v>4.05</v>
      </c>
      <c r="JJ23" s="548" t="s">
        <v>2581</v>
      </c>
      <c r="JL23" s="378"/>
      <c r="JM23" s="423"/>
      <c r="JN23" s="337" t="s">
        <v>2657</v>
      </c>
      <c r="JO23" s="61">
        <v>50.23</v>
      </c>
      <c r="JP23" s="592" t="s">
        <v>2417</v>
      </c>
      <c r="JQ23" s="2"/>
      <c r="JR23" s="624"/>
      <c r="JS23" s="423"/>
      <c r="JT23" s="337" t="s">
        <v>2722</v>
      </c>
      <c r="JU23" s="61">
        <v>10</v>
      </c>
      <c r="JV23" s="618" t="s">
        <v>2411</v>
      </c>
      <c r="JW23" s="61"/>
      <c r="JX23" s="680" t="s">
        <v>2932</v>
      </c>
      <c r="JY23" s="591">
        <f>85.99+30.96</f>
        <v>116.94999999999999</v>
      </c>
      <c r="JZ23" s="245" t="s">
        <v>2822</v>
      </c>
      <c r="KA23" s="405">
        <v>1713.69</v>
      </c>
      <c r="KB23" s="706" t="s">
        <v>2417</v>
      </c>
      <c r="KC23" s="61"/>
      <c r="KD23" s="737" t="s">
        <v>2893</v>
      </c>
      <c r="KE23" s="700">
        <f>1660.5+1107</f>
        <v>2767.5</v>
      </c>
      <c r="KF23" s="337" t="s">
        <v>2918</v>
      </c>
      <c r="KG23" s="443">
        <v>10</v>
      </c>
      <c r="KH23" s="747" t="s">
        <v>2674</v>
      </c>
      <c r="KI23" s="268">
        <v>1</v>
      </c>
      <c r="KJ23" s="9" t="s">
        <v>2900</v>
      </c>
      <c r="KK23" s="423">
        <v>5.68</v>
      </c>
      <c r="KL23" s="143" t="s">
        <v>2682</v>
      </c>
      <c r="KM23" s="61">
        <f>14.32+9*2</f>
        <v>32.32</v>
      </c>
      <c r="KN23" s="743" t="s">
        <v>2673</v>
      </c>
      <c r="KO23" s="268">
        <v>2600</v>
      </c>
      <c r="KP23" s="826" t="s">
        <v>3063</v>
      </c>
      <c r="KQ23" s="825">
        <f>20000*(1-0.9803)</f>
        <v>394.00000000000102</v>
      </c>
      <c r="KR23" s="143" t="s">
        <v>2463</v>
      </c>
      <c r="KS23" s="61">
        <v>82.42</v>
      </c>
      <c r="KT23" s="205" t="s">
        <v>3086</v>
      </c>
      <c r="KU23" s="2">
        <f>KT24-0.99*195000</f>
        <v>-57103</v>
      </c>
      <c r="KV23" s="108">
        <v>45227</v>
      </c>
      <c r="KW23" s="736"/>
    </row>
    <row r="24" spans="1:309">
      <c r="A24" s="883" t="s">
        <v>990</v>
      </c>
      <c r="B24" s="883"/>
      <c r="E24" s="164" t="s">
        <v>139</v>
      </c>
      <c r="F24" s="166"/>
      <c r="G24" s="883" t="s">
        <v>990</v>
      </c>
      <c r="H24" s="883"/>
      <c r="K24" s="244" t="s">
        <v>1027</v>
      </c>
      <c r="L24" s="205">
        <v>0</v>
      </c>
      <c r="M24" s="860"/>
      <c r="N24" s="860"/>
      <c r="Q24" s="244" t="s">
        <v>1029</v>
      </c>
      <c r="R24" s="142">
        <v>0</v>
      </c>
      <c r="S24" s="860"/>
      <c r="T24" s="860"/>
      <c r="W24" s="244" t="s">
        <v>1050</v>
      </c>
      <c r="X24" s="142">
        <v>910.17</v>
      </c>
      <c r="Y24" s="860"/>
      <c r="Z24" s="860"/>
      <c r="AC24" s="248" t="s">
        <v>1083</v>
      </c>
      <c r="AD24" s="142">
        <v>90</v>
      </c>
      <c r="AE24" s="883" t="s">
        <v>990</v>
      </c>
      <c r="AF24" s="883"/>
      <c r="AI24" s="245" t="s">
        <v>1101</v>
      </c>
      <c r="AJ24" s="142">
        <v>30</v>
      </c>
      <c r="AK24" s="883" t="s">
        <v>990</v>
      </c>
      <c r="AL24" s="883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883"/>
      <c r="BH24" s="883"/>
      <c r="BK24" s="266" t="s">
        <v>1222</v>
      </c>
      <c r="BL24" s="205">
        <v>48.54</v>
      </c>
      <c r="BM24" s="883"/>
      <c r="BN24" s="883"/>
      <c r="BQ24" s="266" t="s">
        <v>1051</v>
      </c>
      <c r="BR24" s="205">
        <v>50.15</v>
      </c>
      <c r="BS24" s="883" t="s">
        <v>1245</v>
      </c>
      <c r="BT24" s="883"/>
      <c r="BW24" s="266" t="s">
        <v>1051</v>
      </c>
      <c r="BX24" s="205">
        <v>48.54</v>
      </c>
      <c r="BY24" s="883"/>
      <c r="BZ24" s="883"/>
      <c r="CC24" s="266" t="s">
        <v>1051</v>
      </c>
      <c r="CD24" s="205">
        <v>142.91</v>
      </c>
      <c r="CE24" s="883"/>
      <c r="CF24" s="883"/>
      <c r="CI24" s="266" t="s">
        <v>1312</v>
      </c>
      <c r="CJ24" s="205">
        <v>35.049999999999997</v>
      </c>
      <c r="CK24" s="860"/>
      <c r="CL24" s="860"/>
      <c r="CO24" s="266" t="s">
        <v>1286</v>
      </c>
      <c r="CP24" s="205">
        <v>153.41</v>
      </c>
      <c r="CQ24" s="860" t="s">
        <v>1327</v>
      </c>
      <c r="CR24" s="860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882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1906</v>
      </c>
      <c r="FU24">
        <v>15.000999999999999</v>
      </c>
      <c r="FV24" s="345" t="s">
        <v>1982</v>
      </c>
      <c r="FW24">
        <v>18</v>
      </c>
      <c r="FX24" s="1" t="s">
        <v>1699</v>
      </c>
      <c r="FY24" s="272">
        <v>2000</v>
      </c>
      <c r="GB24" s="345" t="s">
        <v>1958</v>
      </c>
      <c r="GC24">
        <v>64</v>
      </c>
      <c r="GD24" s="1" t="s">
        <v>1699</v>
      </c>
      <c r="GE24" s="272">
        <v>2000</v>
      </c>
      <c r="GF24" t="s">
        <v>1953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1907</v>
      </c>
      <c r="GO24">
        <v>10.96</v>
      </c>
      <c r="GP24" s="1" t="s">
        <v>1984</v>
      </c>
      <c r="GQ24" s="272">
        <v>4000</v>
      </c>
      <c r="GT24" s="345" t="s">
        <v>1955</v>
      </c>
      <c r="GU24">
        <f>10+10</f>
        <v>20</v>
      </c>
      <c r="GV24" s="1" t="s">
        <v>1985</v>
      </c>
      <c r="GW24" s="272">
        <v>25000</v>
      </c>
      <c r="GZ24" s="345" t="s">
        <v>1956</v>
      </c>
      <c r="HA24">
        <f>15.19+14.56+13.54+14.83+17.61+15.15</f>
        <v>90.88</v>
      </c>
      <c r="HB24" s="1" t="s">
        <v>1984</v>
      </c>
      <c r="HC24" s="272">
        <v>4000</v>
      </c>
      <c r="HD24" t="s">
        <v>2118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1929</v>
      </c>
      <c r="HK24" s="286">
        <f>SUM(HM7:HM7)</f>
        <v>1900.08</v>
      </c>
      <c r="HL24" t="s">
        <v>2163</v>
      </c>
      <c r="HM24" s="6">
        <v>130</v>
      </c>
      <c r="HN24" s="1" t="s">
        <v>1638</v>
      </c>
      <c r="HO24" s="272">
        <v>2000</v>
      </c>
      <c r="HQ24" s="377"/>
      <c r="HR24" s="337" t="s">
        <v>2175</v>
      </c>
      <c r="HS24">
        <v>20</v>
      </c>
      <c r="HT24" s="1" t="s">
        <v>1625</v>
      </c>
      <c r="HU24">
        <v>150</v>
      </c>
      <c r="HV24" s="351" t="s">
        <v>1929</v>
      </c>
      <c r="HW24" s="286">
        <f>SUM(HY8:HY8)</f>
        <v>1900.1</v>
      </c>
      <c r="HX24" s="345" t="s">
        <v>1956</v>
      </c>
      <c r="HY24" s="387">
        <f>17.86+15.16+7.54+15.3+16.45+13.02</f>
        <v>85.33</v>
      </c>
      <c r="HZ24" s="66" t="s">
        <v>2213</v>
      </c>
      <c r="IA24" s="2">
        <v>160001.65</v>
      </c>
      <c r="IB24" s="379"/>
      <c r="ID24" s="345" t="s">
        <v>1012</v>
      </c>
      <c r="IE24">
        <f>9</f>
        <v>9</v>
      </c>
      <c r="IF24" s="7" t="s">
        <v>1970</v>
      </c>
      <c r="IG24">
        <v>1002</v>
      </c>
      <c r="IJ24" s="337" t="s">
        <v>2372</v>
      </c>
      <c r="IK24">
        <v>60</v>
      </c>
      <c r="IL24" s="434" t="s">
        <v>2393</v>
      </c>
      <c r="IM24">
        <v>1004</v>
      </c>
      <c r="IN24" s="458"/>
      <c r="IO24" s="405"/>
      <c r="IP24" s="337" t="s">
        <v>2412</v>
      </c>
      <c r="IQ24" s="61">
        <v>40.5</v>
      </c>
      <c r="IR24" s="448" t="s">
        <v>2419</v>
      </c>
      <c r="IS24" s="446">
        <v>28</v>
      </c>
      <c r="IT24" s="245" t="s">
        <v>1930</v>
      </c>
      <c r="IU24" s="273">
        <f>SUM(IW14:IW14)</f>
        <v>2116.9666666666667</v>
      </c>
      <c r="IV24" s="337" t="s">
        <v>2780</v>
      </c>
      <c r="IW24" s="61">
        <v>45.2</v>
      </c>
      <c r="IX24" s="465" t="s">
        <v>2363</v>
      </c>
      <c r="JB24" s="345" t="s">
        <v>2403</v>
      </c>
      <c r="JC24" s="61">
        <v>96</v>
      </c>
      <c r="JD24" s="504"/>
      <c r="JF24" s="378"/>
      <c r="JG24" s="423"/>
      <c r="JH24" s="345" t="s">
        <v>2311</v>
      </c>
      <c r="JI24" s="61">
        <f>15.55+10+15.6+17.36+16.4+10+14.01+16.99+15.65</f>
        <v>131.56</v>
      </c>
      <c r="JJ24" s="550" t="s">
        <v>2393</v>
      </c>
      <c r="JK24" s="545">
        <v>1000</v>
      </c>
      <c r="JL24" s="379"/>
      <c r="JN24" s="337" t="s">
        <v>2664</v>
      </c>
      <c r="JO24" s="61">
        <f>9+2</f>
        <v>11</v>
      </c>
      <c r="JP24" s="600" t="s">
        <v>2690</v>
      </c>
      <c r="JQ24" s="2">
        <v>14.8</v>
      </c>
      <c r="JR24" s="612" t="s">
        <v>2662</v>
      </c>
      <c r="JS24" s="612"/>
      <c r="JT24" s="337" t="s">
        <v>2747</v>
      </c>
      <c r="JU24" s="61">
        <v>48.2</v>
      </c>
      <c r="JV24" s="622" t="s">
        <v>2715</v>
      </c>
      <c r="JW24" s="61">
        <v>453.6</v>
      </c>
      <c r="JY24" s="423"/>
      <c r="JZ24" s="345" t="s">
        <v>2463</v>
      </c>
      <c r="KA24" s="61">
        <f>69.21+73.35</f>
        <v>142.56</v>
      </c>
      <c r="KB24" s="706" t="s">
        <v>2815</v>
      </c>
      <c r="KC24" s="61">
        <v>1.64</v>
      </c>
      <c r="KD24" s="700">
        <f>150000*(1-0.98155)</f>
        <v>2767.499999999995</v>
      </c>
      <c r="KE24" s="700" t="s">
        <v>2985</v>
      </c>
      <c r="KF24" s="337" t="s">
        <v>2860</v>
      </c>
      <c r="KG24" s="443">
        <v>38</v>
      </c>
      <c r="KH24" s="747" t="s">
        <v>2675</v>
      </c>
      <c r="KI24" s="430">
        <v>408</v>
      </c>
      <c r="KJ24" s="762" t="s">
        <v>2991</v>
      </c>
      <c r="KK24" s="740">
        <f>20000*(1-0.9814)</f>
        <v>371.99999999999898</v>
      </c>
      <c r="KL24" s="143" t="s">
        <v>2732</v>
      </c>
      <c r="KM24" s="203">
        <v>10.8</v>
      </c>
      <c r="KN24" s="747" t="s">
        <v>2674</v>
      </c>
      <c r="KO24" s="268">
        <v>520</v>
      </c>
      <c r="KP24" s="832" t="s">
        <v>3087</v>
      </c>
      <c r="KQ24" s="789">
        <v>1895.66</v>
      </c>
      <c r="KR24" s="143" t="s">
        <v>3032</v>
      </c>
      <c r="KS24" s="61">
        <v>30</v>
      </c>
      <c r="KT24" s="736">
        <v>135947</v>
      </c>
      <c r="KU24" s="793"/>
      <c r="KV24" s="493"/>
      <c r="KW24" s="430"/>
    </row>
    <row r="25" spans="1:309">
      <c r="A25" s="860"/>
      <c r="B25" s="860"/>
      <c r="E25" s="198" t="s">
        <v>362</v>
      </c>
      <c r="F25" s="170"/>
      <c r="G25" s="860"/>
      <c r="H25" s="860"/>
      <c r="K25" s="244" t="s">
        <v>1018</v>
      </c>
      <c r="L25" s="142">
        <f>910+40</f>
        <v>950</v>
      </c>
      <c r="M25" s="860"/>
      <c r="N25" s="860"/>
      <c r="Q25" s="244" t="s">
        <v>1026</v>
      </c>
      <c r="R25" s="142">
        <v>0</v>
      </c>
      <c r="S25" s="860"/>
      <c r="T25" s="860"/>
      <c r="W25" s="143" t="s">
        <v>1085</v>
      </c>
      <c r="X25" s="142">
        <v>110.58</v>
      </c>
      <c r="Y25" s="860"/>
      <c r="Z25" s="860"/>
      <c r="AE25" s="860"/>
      <c r="AF25" s="860"/>
      <c r="AK25" s="860"/>
      <c r="AL25" s="860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860"/>
      <c r="AX25" s="860"/>
      <c r="AY25" s="143"/>
      <c r="AZ25" s="205"/>
      <c r="BA25" s="860"/>
      <c r="BB25" s="860"/>
      <c r="BE25" s="143" t="s">
        <v>1195</v>
      </c>
      <c r="BF25" s="205">
        <f>6.5*2</f>
        <v>13</v>
      </c>
      <c r="BG25" s="860"/>
      <c r="BH25" s="860"/>
      <c r="BK25" s="266" t="s">
        <v>1195</v>
      </c>
      <c r="BL25" s="205">
        <f>6.5*2</f>
        <v>13</v>
      </c>
      <c r="BM25" s="860"/>
      <c r="BN25" s="860"/>
      <c r="BQ25" s="266" t="s">
        <v>1195</v>
      </c>
      <c r="BR25" s="205">
        <v>13</v>
      </c>
      <c r="BS25" s="860"/>
      <c r="BT25" s="860"/>
      <c r="BW25" s="266" t="s">
        <v>1195</v>
      </c>
      <c r="BX25" s="205">
        <v>13</v>
      </c>
      <c r="BY25" s="860"/>
      <c r="BZ25" s="860"/>
      <c r="CC25" s="266" t="s">
        <v>1195</v>
      </c>
      <c r="CD25" s="205">
        <v>13</v>
      </c>
      <c r="CE25" s="860"/>
      <c r="CF25" s="860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897" t="s">
        <v>1536</v>
      </c>
      <c r="DZ25" s="898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881" t="s">
        <v>1536</v>
      </c>
      <c r="ES25" s="881"/>
      <c r="ET25" s="1" t="s">
        <v>1703</v>
      </c>
      <c r="EU25" s="272">
        <v>20000</v>
      </c>
      <c r="EW25" s="882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1867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1925</v>
      </c>
      <c r="GC25">
        <v>6</v>
      </c>
      <c r="GD25" s="1" t="s">
        <v>1700</v>
      </c>
      <c r="GE25" s="272">
        <v>3000</v>
      </c>
      <c r="GF25" s="60"/>
      <c r="GH25" s="345" t="s">
        <v>1974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1985</v>
      </c>
      <c r="GQ25" s="272">
        <v>25000</v>
      </c>
      <c r="GT25" s="345" t="s">
        <v>1956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2084</v>
      </c>
      <c r="HA25">
        <f>35+4</f>
        <v>39</v>
      </c>
      <c r="HB25" s="1" t="s">
        <v>1985</v>
      </c>
      <c r="HC25" s="272">
        <v>25000</v>
      </c>
      <c r="HD25" t="s">
        <v>2114</v>
      </c>
      <c r="HF25" s="345" t="s">
        <v>2133</v>
      </c>
      <c r="HG25">
        <f>9+10.96</f>
        <v>19.96</v>
      </c>
      <c r="HH25" s="6" t="s">
        <v>1811</v>
      </c>
      <c r="HI25" s="272" t="s">
        <v>1079</v>
      </c>
      <c r="HJ25" s="366" t="s">
        <v>1930</v>
      </c>
      <c r="HK25" s="286">
        <f>SUM(HM8:HM9)</f>
        <v>2450.5333333333333</v>
      </c>
      <c r="HL25" s="9" t="s">
        <v>2162</v>
      </c>
      <c r="HM25" s="9">
        <v>530</v>
      </c>
      <c r="HN25" s="1" t="s">
        <v>1639</v>
      </c>
      <c r="HO25" s="272">
        <v>4000</v>
      </c>
      <c r="HQ25" s="377"/>
      <c r="HR25" s="337" t="s">
        <v>2187</v>
      </c>
      <c r="HS25">
        <v>26.6</v>
      </c>
      <c r="HT25" s="254" t="s">
        <v>2188</v>
      </c>
      <c r="HV25" s="245" t="s">
        <v>1930</v>
      </c>
      <c r="HW25" s="286">
        <f>SUM(HY10:HY15)</f>
        <v>185426.5633333333</v>
      </c>
      <c r="HX25" s="337" t="s">
        <v>2250</v>
      </c>
      <c r="HY25">
        <f>10+10</f>
        <v>20</v>
      </c>
      <c r="HZ25" s="1" t="s">
        <v>2214</v>
      </c>
      <c r="IA25" s="399">
        <v>-13000</v>
      </c>
      <c r="IB25" s="837" t="s">
        <v>2136</v>
      </c>
      <c r="IC25" s="837"/>
      <c r="ID25" s="345" t="s">
        <v>2209</v>
      </c>
      <c r="IE25">
        <v>32</v>
      </c>
      <c r="IF25" s="436" t="s">
        <v>2395</v>
      </c>
      <c r="IG25" s="435">
        <v>4</v>
      </c>
      <c r="IH25" t="s">
        <v>2273</v>
      </c>
      <c r="II25" s="405"/>
      <c r="IJ25" s="337" t="s">
        <v>2332</v>
      </c>
      <c r="IK25">
        <v>10</v>
      </c>
      <c r="IL25" s="436" t="s">
        <v>2395</v>
      </c>
      <c r="IM25" s="435">
        <v>4</v>
      </c>
      <c r="IN25" s="455"/>
      <c r="IO25" s="405"/>
      <c r="IP25" s="337" t="s">
        <v>2423</v>
      </c>
      <c r="IQ25" s="61">
        <v>88.51</v>
      </c>
      <c r="IR25" s="457" t="s">
        <v>2435</v>
      </c>
      <c r="IS25" s="456" t="s">
        <v>2444</v>
      </c>
      <c r="IT25" s="362" t="s">
        <v>1392</v>
      </c>
      <c r="IU25" s="363">
        <f>SUM(IW10:IW12)</f>
        <v>2514.06</v>
      </c>
      <c r="IV25" s="337" t="s">
        <v>2781</v>
      </c>
      <c r="IW25" s="61">
        <v>54.7</v>
      </c>
      <c r="IX25" s="500"/>
      <c r="IY25" s="472"/>
      <c r="IZ25" s="378"/>
      <c r="JA25" s="423"/>
      <c r="JB25" s="345" t="s">
        <v>2311</v>
      </c>
      <c r="JC25" s="61">
        <f>17.98+13.67+17.8+15.37+10+15+12.85</f>
        <v>102.67</v>
      </c>
      <c r="JD25" s="504"/>
      <c r="JF25" s="379"/>
      <c r="JH25" s="337" t="s">
        <v>2644</v>
      </c>
      <c r="JI25" s="61">
        <v>20</v>
      </c>
      <c r="JJ25" s="547" t="s">
        <v>2411</v>
      </c>
      <c r="JN25" s="337" t="s">
        <v>2668</v>
      </c>
      <c r="JO25" s="61">
        <v>16.100000000000001</v>
      </c>
      <c r="JP25" s="582" t="s">
        <v>2411</v>
      </c>
      <c r="JQ25" s="2"/>
      <c r="JR25" s="668" t="s">
        <v>1929</v>
      </c>
      <c r="JS25" s="273">
        <f>SUM(JU6:JU7)</f>
        <v>3900.06</v>
      </c>
      <c r="JT25" s="337" t="s">
        <v>2730</v>
      </c>
      <c r="JU25" s="61">
        <v>68.900000000000006</v>
      </c>
      <c r="JV25" s="618" t="s">
        <v>2363</v>
      </c>
      <c r="JW25" s="61"/>
      <c r="JX25" s="683"/>
      <c r="JY25" s="683"/>
      <c r="JZ25" s="345" t="s">
        <v>2820</v>
      </c>
      <c r="KA25" s="61">
        <v>219</v>
      </c>
      <c r="KB25" s="706"/>
      <c r="KC25" s="61"/>
      <c r="KD25" s="753"/>
      <c r="KE25" s="753"/>
      <c r="KF25" s="337" t="s">
        <v>2864</v>
      </c>
      <c r="KG25" s="443">
        <v>25.9</v>
      </c>
      <c r="KH25" s="747" t="s">
        <v>2678</v>
      </c>
      <c r="KI25" s="268" t="s">
        <v>2095</v>
      </c>
      <c r="KJ25" s="768" t="s">
        <v>2992</v>
      </c>
      <c r="KK25" s="767">
        <f>20000*(1-0.97971)</f>
        <v>405.80000000000058</v>
      </c>
      <c r="KL25" s="143" t="s">
        <v>2311</v>
      </c>
      <c r="KM25" s="61">
        <f>13.32+12.76+19.15+15.12+10.3+10</f>
        <v>80.649999999999991</v>
      </c>
      <c r="KN25" s="747" t="s">
        <v>2675</v>
      </c>
      <c r="KO25" s="430">
        <v>1334</v>
      </c>
      <c r="KP25" s="832" t="s">
        <v>3088</v>
      </c>
      <c r="KQ25" s="824"/>
      <c r="KR25" s="143" t="s">
        <v>3024</v>
      </c>
      <c r="KS25" s="61">
        <v>100</v>
      </c>
      <c r="KT25" s="792" t="s">
        <v>2673</v>
      </c>
      <c r="KU25" s="268">
        <v>2600</v>
      </c>
      <c r="KV25" s="493">
        <v>45228</v>
      </c>
      <c r="KW25" s="268"/>
    </row>
    <row r="26" spans="1:309">
      <c r="A26" s="860"/>
      <c r="B26" s="860"/>
      <c r="F26" s="194"/>
      <c r="G26" s="860"/>
      <c r="H26" s="860"/>
      <c r="K26"/>
      <c r="M26" s="887" t="s">
        <v>506</v>
      </c>
      <c r="N26" s="887"/>
      <c r="Q26" s="244" t="s">
        <v>1019</v>
      </c>
      <c r="R26" s="142">
        <v>0</v>
      </c>
      <c r="S26" s="887" t="s">
        <v>506</v>
      </c>
      <c r="T26" s="887"/>
      <c r="W26" s="143" t="s">
        <v>1051</v>
      </c>
      <c r="X26" s="142">
        <v>60.75</v>
      </c>
      <c r="Y26" s="860"/>
      <c r="Z26" s="860"/>
      <c r="AC26" s="219" t="s">
        <v>1092</v>
      </c>
      <c r="AD26" s="219"/>
      <c r="AE26" s="887" t="s">
        <v>506</v>
      </c>
      <c r="AF26" s="887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881" t="s">
        <v>1536</v>
      </c>
      <c r="EY26" s="881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1868</v>
      </c>
      <c r="FU26">
        <f>242.32-FU21</f>
        <v>42.319999999999993</v>
      </c>
      <c r="FV26" s="337" t="s">
        <v>1872</v>
      </c>
      <c r="FW26">
        <v>70</v>
      </c>
      <c r="FX26" s="1" t="s">
        <v>1700</v>
      </c>
      <c r="FY26" s="272">
        <v>1000</v>
      </c>
      <c r="FZ26" s="6"/>
      <c r="GB26" s="345" t="s">
        <v>1982</v>
      </c>
      <c r="GC26">
        <v>9</v>
      </c>
      <c r="GD26" s="1" t="s">
        <v>1700</v>
      </c>
      <c r="GE26" s="272">
        <v>1000</v>
      </c>
      <c r="GH26" s="345" t="s">
        <v>1982</v>
      </c>
      <c r="GI26">
        <v>9</v>
      </c>
      <c r="GJ26" s="1" t="s">
        <v>1699</v>
      </c>
      <c r="GK26" s="272">
        <v>2000</v>
      </c>
      <c r="GL26" s="6"/>
      <c r="GN26" s="345" t="s">
        <v>1982</v>
      </c>
      <c r="GO26">
        <v>9</v>
      </c>
      <c r="GP26" s="1" t="s">
        <v>1638</v>
      </c>
      <c r="GQ26" s="272">
        <v>2000</v>
      </c>
      <c r="GR26" s="60"/>
      <c r="GT26" s="337" t="s">
        <v>2022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2080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388">
        <v>32.770000000000003</v>
      </c>
      <c r="HM26" s="9" t="s">
        <v>2161</v>
      </c>
      <c r="HN26" s="254" t="s">
        <v>1632</v>
      </c>
      <c r="HO26" s="278"/>
      <c r="HP26" s="837" t="s">
        <v>2136</v>
      </c>
      <c r="HQ26" s="837"/>
      <c r="HR26" s="337" t="s">
        <v>2193</v>
      </c>
      <c r="HS26">
        <v>10</v>
      </c>
      <c r="HT26" s="436" t="s">
        <v>2395</v>
      </c>
      <c r="HU26" s="435">
        <v>4</v>
      </c>
      <c r="HV26" s="346" t="s">
        <v>2131</v>
      </c>
      <c r="HW26">
        <f>SUM(HY9:HY9)</f>
        <v>535</v>
      </c>
      <c r="HX26" s="337" t="s">
        <v>2313</v>
      </c>
      <c r="HY26">
        <v>46.73</v>
      </c>
      <c r="HZ26" s="1" t="s">
        <v>2229</v>
      </c>
      <c r="IA26" s="272">
        <v>-70000</v>
      </c>
      <c r="IB26" s="351" t="s">
        <v>1929</v>
      </c>
      <c r="IC26" s="286">
        <f>SUM(IE7:IE7)</f>
        <v>1900.11</v>
      </c>
      <c r="ID26" s="345" t="s">
        <v>2311</v>
      </c>
      <c r="IE26" s="387">
        <f>11.74+10+9.21+17.04+10+12.34+15.71+10+15.63+10</f>
        <v>121.66999999999999</v>
      </c>
      <c r="IF26" s="6" t="s">
        <v>2286</v>
      </c>
      <c r="IG26" s="272"/>
      <c r="IH26" s="379" t="s">
        <v>2334</v>
      </c>
      <c r="II26" s="423">
        <v>19.45</v>
      </c>
      <c r="IJ26" s="337" t="s">
        <v>2386</v>
      </c>
      <c r="IK26">
        <f>91.7+12</f>
        <v>103.7</v>
      </c>
      <c r="IL26" s="253" t="s">
        <v>2207</v>
      </c>
      <c r="IM26" s="278"/>
      <c r="IN26" s="379"/>
      <c r="IO26" s="423"/>
      <c r="IP26" s="445" t="s">
        <v>2135</v>
      </c>
      <c r="IQ26" s="61">
        <v>58.4</v>
      </c>
      <c r="IR26" s="450" t="s">
        <v>2421</v>
      </c>
      <c r="IS26" s="449">
        <v>1000</v>
      </c>
      <c r="IT26" s="346" t="s">
        <v>2131</v>
      </c>
      <c r="IU26" s="363">
        <f>SUM(IW13:IW13)</f>
        <v>170</v>
      </c>
      <c r="IV26" s="460" t="s">
        <v>2946</v>
      </c>
      <c r="IW26" s="78">
        <f>2+59+11+23</f>
        <v>95</v>
      </c>
      <c r="IX26" s="417"/>
      <c r="IZ26" s="378"/>
      <c r="JA26" s="423"/>
      <c r="JB26" s="337" t="s">
        <v>2594</v>
      </c>
      <c r="JC26" s="61">
        <v>10</v>
      </c>
      <c r="JD26" s="530"/>
      <c r="JH26" s="337" t="s">
        <v>2626</v>
      </c>
      <c r="JI26" s="61">
        <v>30</v>
      </c>
      <c r="JJ26" s="547" t="s">
        <v>2363</v>
      </c>
      <c r="JL26" s="588" t="s">
        <v>2662</v>
      </c>
      <c r="JM26" s="588"/>
      <c r="JN26" s="337" t="s">
        <v>2782</v>
      </c>
      <c r="JO26" s="443">
        <v>42.9</v>
      </c>
      <c r="JP26" s="592" t="s">
        <v>2669</v>
      </c>
      <c r="JQ26" s="2">
        <v>15</v>
      </c>
      <c r="JR26" s="366" t="s">
        <v>2728</v>
      </c>
      <c r="JS26" s="273">
        <f>SUM(JU11:JU13)</f>
        <v>5390.235999999999</v>
      </c>
      <c r="JT26" s="337" t="s">
        <v>2778</v>
      </c>
      <c r="JU26" s="61">
        <v>41.5</v>
      </c>
      <c r="JV26" s="626"/>
      <c r="JW26" s="61"/>
      <c r="JX26" s="683"/>
      <c r="JY26" s="683"/>
      <c r="JZ26" s="345" t="s">
        <v>2919</v>
      </c>
      <c r="KA26" s="61">
        <v>30</v>
      </c>
      <c r="KB26" s="706" t="s">
        <v>2363</v>
      </c>
      <c r="KC26" s="61"/>
      <c r="KD26" s="753"/>
      <c r="KE26" s="753"/>
      <c r="KF26" s="337" t="s">
        <v>2874</v>
      </c>
      <c r="KG26" s="443">
        <v>63.1</v>
      </c>
      <c r="KH26" s="747" t="s">
        <v>2585</v>
      </c>
      <c r="KI26" s="268">
        <v>15</v>
      </c>
      <c r="KJ26" s="783"/>
      <c r="KK26" s="783"/>
      <c r="KL26" s="337" t="s">
        <v>2983</v>
      </c>
      <c r="KM26" s="61">
        <f>80+115</f>
        <v>195</v>
      </c>
      <c r="KN26" s="254" t="s">
        <v>3008</v>
      </c>
      <c r="KO26" s="430"/>
      <c r="KP26" s="832" t="s">
        <v>3089</v>
      </c>
      <c r="KR26" s="143" t="s">
        <v>3023</v>
      </c>
      <c r="KS26" s="444" t="s">
        <v>3061</v>
      </c>
      <c r="KT26" s="796" t="s">
        <v>2674</v>
      </c>
      <c r="KU26" s="831">
        <v>239</v>
      </c>
      <c r="KV26" s="493">
        <v>45228</v>
      </c>
      <c r="KW26" s="268"/>
    </row>
    <row r="27" spans="1:309" ht="12.75" customHeight="1">
      <c r="A27" s="860"/>
      <c r="B27" s="860"/>
      <c r="E27" s="193" t="s">
        <v>360</v>
      </c>
      <c r="F27" s="194"/>
      <c r="G27" s="860"/>
      <c r="H27" s="860"/>
      <c r="K27" s="143" t="s">
        <v>1017</v>
      </c>
      <c r="L27" s="142">
        <f>60</f>
        <v>60</v>
      </c>
      <c r="M27" s="887" t="s">
        <v>992</v>
      </c>
      <c r="N27" s="887"/>
      <c r="Q27" s="244" t="s">
        <v>1073</v>
      </c>
      <c r="R27" s="205">
        <v>200</v>
      </c>
      <c r="S27" s="887" t="s">
        <v>992</v>
      </c>
      <c r="T27" s="887"/>
      <c r="W27" s="143" t="s">
        <v>1016</v>
      </c>
      <c r="X27" s="142">
        <v>61.35</v>
      </c>
      <c r="Y27" s="887" t="s">
        <v>506</v>
      </c>
      <c r="Z27" s="887"/>
      <c r="AC27" s="219" t="s">
        <v>1088</v>
      </c>
      <c r="AD27" s="219">
        <f>53+207+63</f>
        <v>323</v>
      </c>
      <c r="AE27" s="887" t="s">
        <v>992</v>
      </c>
      <c r="AF27" s="887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881" t="s">
        <v>1747</v>
      </c>
      <c r="FE27" s="881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1882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1955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2007</v>
      </c>
      <c r="GO27">
        <f>20+40+10+10</f>
        <v>80</v>
      </c>
      <c r="GP27" s="1" t="s">
        <v>1639</v>
      </c>
      <c r="GQ27" s="272">
        <v>4000</v>
      </c>
      <c r="GT27" s="337" t="s">
        <v>2037</v>
      </c>
      <c r="GU27">
        <f>15.74+43.21</f>
        <v>58.95</v>
      </c>
      <c r="GV27" s="6" t="s">
        <v>1811</v>
      </c>
      <c r="GW27" s="272">
        <v>300</v>
      </c>
      <c r="GZ27" s="337" t="s">
        <v>2092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1956</v>
      </c>
      <c r="HG27">
        <f>12.57+14.64+15.52+10+15.22+15.49+15.3</f>
        <v>98.74</v>
      </c>
      <c r="HH27" s="253" t="s">
        <v>2116</v>
      </c>
      <c r="HI27" s="283">
        <v>74.900000000000006</v>
      </c>
      <c r="HJ27" s="347" t="s">
        <v>2131</v>
      </c>
      <c r="HK27">
        <v>0</v>
      </c>
      <c r="HL27" s="365" t="s">
        <v>2159</v>
      </c>
      <c r="HM27" s="384">
        <f>HI16+HK31-HO18</f>
        <v>240</v>
      </c>
      <c r="HN27" s="376" t="s">
        <v>2155</v>
      </c>
      <c r="HO27" s="278">
        <v>21</v>
      </c>
      <c r="HP27" s="351" t="s">
        <v>1929</v>
      </c>
      <c r="HQ27" s="286">
        <f>SUM(HS6:HS6)</f>
        <v>1900.09</v>
      </c>
      <c r="HR27" s="337" t="s">
        <v>2191</v>
      </c>
      <c r="HS27">
        <v>10</v>
      </c>
      <c r="HT27" s="7" t="s">
        <v>1970</v>
      </c>
      <c r="HU27">
        <v>1000</v>
      </c>
      <c r="HV27" s="345" t="s">
        <v>2132</v>
      </c>
      <c r="HW27" s="387">
        <f>SUM(HY16:HY24)</f>
        <v>1033.9166666666667</v>
      </c>
      <c r="HX27" s="337" t="s">
        <v>2252</v>
      </c>
      <c r="HY27">
        <f>32.37+27.07</f>
        <v>59.44</v>
      </c>
      <c r="HZ27" s="7" t="s">
        <v>2232</v>
      </c>
      <c r="IA27" s="274">
        <v>0</v>
      </c>
      <c r="IB27" s="245" t="s">
        <v>1930</v>
      </c>
      <c r="IC27" s="286">
        <f>SUM(IE10:IE17)</f>
        <v>51233.746666666666</v>
      </c>
      <c r="ID27" s="337" t="s">
        <v>2305</v>
      </c>
      <c r="IE27">
        <v>30</v>
      </c>
      <c r="IF27" s="417" t="s">
        <v>2302</v>
      </c>
      <c r="IG27" s="278">
        <v>127</v>
      </c>
      <c r="IH27" s="379" t="s">
        <v>2335</v>
      </c>
      <c r="II27" s="423">
        <v>19.45</v>
      </c>
      <c r="IJ27" s="337" t="s">
        <v>2373</v>
      </c>
      <c r="IK27">
        <v>6.8</v>
      </c>
      <c r="IL27" s="253" t="s">
        <v>2349</v>
      </c>
      <c r="IM27">
        <v>41</v>
      </c>
      <c r="IN27" s="379"/>
      <c r="IO27" s="423"/>
      <c r="IP27" s="337" t="s">
        <v>2422</v>
      </c>
      <c r="IQ27" s="61">
        <v>23.42</v>
      </c>
      <c r="IR27" s="417" t="s">
        <v>2418</v>
      </c>
      <c r="IS27" s="61">
        <v>260</v>
      </c>
      <c r="IT27" s="345" t="s">
        <v>2132</v>
      </c>
      <c r="IU27" s="363">
        <f>SUM(IW15:IW20)</f>
        <v>1471.3133333333333</v>
      </c>
      <c r="IV27" s="9" t="s">
        <v>2162</v>
      </c>
      <c r="IW27" s="444">
        <f>70+106+167+164+22.7</f>
        <v>529.70000000000005</v>
      </c>
      <c r="IX27" s="417"/>
      <c r="IY27" s="473"/>
      <c r="IZ27" s="379"/>
      <c r="JB27" s="337" t="s">
        <v>2599</v>
      </c>
      <c r="JC27" s="61">
        <v>7</v>
      </c>
      <c r="JD27" s="536"/>
      <c r="JE27" s="535"/>
      <c r="JF27" s="554" t="s">
        <v>2606</v>
      </c>
      <c r="JG27" s="554"/>
      <c r="JH27" s="337" t="s">
        <v>2646</v>
      </c>
      <c r="JI27" s="61">
        <f>55.72+65.82</f>
        <v>121.53999999999999</v>
      </c>
      <c r="JJ27" s="564" t="s">
        <v>2631</v>
      </c>
      <c r="JK27" s="563">
        <v>59.4</v>
      </c>
      <c r="JL27" s="192" t="s">
        <v>1929</v>
      </c>
      <c r="JM27" s="273">
        <f>SUM(JO6:JO7)</f>
        <v>2900.12</v>
      </c>
      <c r="JN27" s="337" t="s">
        <v>2699</v>
      </c>
      <c r="JO27" s="443">
        <v>131</v>
      </c>
      <c r="JP27" s="582" t="s">
        <v>2363</v>
      </c>
      <c r="JQ27" s="2"/>
      <c r="JR27" s="350" t="s">
        <v>1392</v>
      </c>
      <c r="JS27" s="268">
        <f>SUM(JU8:JU8)</f>
        <v>1476</v>
      </c>
      <c r="JT27" s="337" t="s">
        <v>2744</v>
      </c>
      <c r="JU27" s="443">
        <v>11</v>
      </c>
      <c r="JV27" s="645"/>
      <c r="JW27" s="61"/>
      <c r="JX27" s="683"/>
      <c r="JY27" s="683"/>
      <c r="JZ27" s="345" t="s">
        <v>2849</v>
      </c>
      <c r="KA27" s="444">
        <f>131.87*2</f>
        <v>263.74</v>
      </c>
      <c r="KB27" s="706"/>
      <c r="KC27" s="712"/>
      <c r="KF27" s="337" t="s">
        <v>2878</v>
      </c>
      <c r="KG27" s="443">
        <v>45.74</v>
      </c>
      <c r="KH27" s="746" t="s">
        <v>2582</v>
      </c>
      <c r="KI27" s="2">
        <v>130</v>
      </c>
      <c r="KJ27" s="783"/>
      <c r="KK27" s="784"/>
      <c r="KL27" s="337" t="s">
        <v>2961</v>
      </c>
      <c r="KM27" s="61">
        <v>30</v>
      </c>
      <c r="KN27" s="747" t="s">
        <v>2949</v>
      </c>
      <c r="KO27" s="268">
        <v>12</v>
      </c>
      <c r="KP27" s="832" t="s">
        <v>3090</v>
      </c>
      <c r="KR27" s="143" t="s">
        <v>3023</v>
      </c>
      <c r="KS27" s="444">
        <v>131.87</v>
      </c>
      <c r="KT27" s="796" t="s">
        <v>2675</v>
      </c>
      <c r="KU27" s="430">
        <v>1960</v>
      </c>
      <c r="KV27" s="493">
        <v>45228</v>
      </c>
      <c r="KW27" s="430"/>
    </row>
    <row r="28" spans="1:309">
      <c r="A28" s="887" t="s">
        <v>506</v>
      </c>
      <c r="B28" s="887"/>
      <c r="E28" s="193" t="s">
        <v>282</v>
      </c>
      <c r="F28" s="194"/>
      <c r="G28" s="887" t="s">
        <v>506</v>
      </c>
      <c r="H28" s="887"/>
      <c r="K28" s="143" t="s">
        <v>1016</v>
      </c>
      <c r="L28" s="142">
        <v>0</v>
      </c>
      <c r="M28" s="879" t="s">
        <v>93</v>
      </c>
      <c r="N28" s="879"/>
      <c r="Q28" s="244" t="s">
        <v>1050</v>
      </c>
      <c r="R28" s="142">
        <v>0</v>
      </c>
      <c r="S28" s="879" t="s">
        <v>93</v>
      </c>
      <c r="T28" s="879"/>
      <c r="W28" s="143" t="s">
        <v>1015</v>
      </c>
      <c r="X28" s="142">
        <v>64</v>
      </c>
      <c r="Y28" s="887" t="s">
        <v>992</v>
      </c>
      <c r="Z28" s="887"/>
      <c r="AC28" s="219" t="s">
        <v>1089</v>
      </c>
      <c r="AD28" s="219">
        <f>63+46</f>
        <v>109</v>
      </c>
      <c r="AE28" s="879" t="s">
        <v>93</v>
      </c>
      <c r="AF28" s="879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881" t="s">
        <v>1536</v>
      </c>
      <c r="EM28" s="881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1870</v>
      </c>
      <c r="FU28">
        <f>5984.25-6010</f>
        <v>-25.75</v>
      </c>
      <c r="FV28" s="337" t="s">
        <v>2778</v>
      </c>
      <c r="FW28">
        <v>41.2</v>
      </c>
      <c r="FX28" s="1" t="s">
        <v>1869</v>
      </c>
      <c r="FY28" s="272">
        <v>1010</v>
      </c>
      <c r="GB28" s="337" t="s">
        <v>1919</v>
      </c>
      <c r="GC28">
        <v>8</v>
      </c>
      <c r="GD28" s="1" t="s">
        <v>1869</v>
      </c>
      <c r="GE28" s="272">
        <v>808</v>
      </c>
      <c r="GH28" s="345" t="s">
        <v>1956</v>
      </c>
      <c r="GI28">
        <f>11.48+13.49+12.33+10+12.88+6.22+14.16</f>
        <v>80.56</v>
      </c>
      <c r="GJ28" s="1" t="s">
        <v>1869</v>
      </c>
      <c r="GK28" s="272">
        <v>2002</v>
      </c>
      <c r="GN28" s="345" t="s">
        <v>1956</v>
      </c>
      <c r="GO28">
        <f>8.9+15.69+15.34+15.72</f>
        <v>55.65</v>
      </c>
      <c r="GP28" s="1" t="s">
        <v>1869</v>
      </c>
      <c r="GQ28" s="272" t="s">
        <v>1079</v>
      </c>
      <c r="GT28" s="337" t="s">
        <v>2030</v>
      </c>
      <c r="GU28">
        <v>5.4</v>
      </c>
      <c r="GV28" s="1" t="s">
        <v>1890</v>
      </c>
      <c r="GW28" s="272">
        <v>0</v>
      </c>
      <c r="GZ28" s="337" t="s">
        <v>2061</v>
      </c>
      <c r="HA28">
        <v>505.66</v>
      </c>
      <c r="HB28" s="6" t="s">
        <v>1811</v>
      </c>
      <c r="HC28" s="272">
        <v>300</v>
      </c>
      <c r="HF28" s="337" t="s">
        <v>2103</v>
      </c>
      <c r="HG28">
        <f>35.9+3.3</f>
        <v>39.199999999999996</v>
      </c>
      <c r="HH28" s="376" t="s">
        <v>2106</v>
      </c>
      <c r="HI28" s="378">
        <v>3179.26</v>
      </c>
      <c r="HJ28" s="348" t="s">
        <v>2132</v>
      </c>
      <c r="HK28" s="374">
        <f>SUM(HM10:HM18)</f>
        <v>1046.8376666666666</v>
      </c>
      <c r="HL28" s="385">
        <v>60</v>
      </c>
      <c r="HM28" s="340" t="s">
        <v>1828</v>
      </c>
      <c r="HN28" s="253" t="s">
        <v>2165</v>
      </c>
      <c r="HO28" s="278">
        <v>214</v>
      </c>
      <c r="HP28" s="245" t="s">
        <v>1930</v>
      </c>
      <c r="HQ28" s="286">
        <f>SUM(HS9:HS11)</f>
        <v>2361.4333333333334</v>
      </c>
      <c r="HR28" s="337" t="s">
        <v>2197</v>
      </c>
      <c r="HS28">
        <v>14</v>
      </c>
      <c r="HT28" s="1" t="s">
        <v>1983</v>
      </c>
      <c r="HU28" s="272">
        <v>3000</v>
      </c>
      <c r="HV28" s="214" t="s">
        <v>2500</v>
      </c>
      <c r="HW28">
        <f>SUM(HY47:HY54)</f>
        <v>1548.6</v>
      </c>
      <c r="HX28" s="337" t="s">
        <v>2221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2280</v>
      </c>
      <c r="IE28">
        <v>329.76</v>
      </c>
      <c r="IF28" s="253" t="s">
        <v>2301</v>
      </c>
      <c r="IG28" s="278">
        <v>111</v>
      </c>
      <c r="IH28" s="379" t="s">
        <v>2336</v>
      </c>
      <c r="II28" s="423">
        <v>19.45</v>
      </c>
      <c r="IJ28" s="337" t="s">
        <v>2348</v>
      </c>
      <c r="IK28">
        <f>3.8*2+9.9</f>
        <v>17.5</v>
      </c>
      <c r="IL28" s="253" t="s">
        <v>2363</v>
      </c>
      <c r="IN28" s="379"/>
      <c r="IO28" s="423"/>
      <c r="IP28" s="337" t="s">
        <v>2427</v>
      </c>
      <c r="IQ28" s="61">
        <v>61.71</v>
      </c>
      <c r="IR28" s="253" t="s">
        <v>2363</v>
      </c>
      <c r="IT28" s="337" t="s">
        <v>2130</v>
      </c>
      <c r="IU28" s="363">
        <f>SUM(IW21:IW25)</f>
        <v>268.39</v>
      </c>
      <c r="IV28" s="388">
        <v>22.7</v>
      </c>
      <c r="IW28" s="444"/>
      <c r="IX28" s="465"/>
      <c r="IZ28" s="837" t="s">
        <v>2136</v>
      </c>
      <c r="JA28" s="837"/>
      <c r="JB28" s="337" t="s">
        <v>2783</v>
      </c>
      <c r="JC28" s="61">
        <v>34</v>
      </c>
      <c r="JF28" s="192" t="s">
        <v>1929</v>
      </c>
      <c r="JG28" s="273">
        <f>SUM(JI6:JI7)</f>
        <v>3900.1</v>
      </c>
      <c r="JH28" s="337" t="s">
        <v>2784</v>
      </c>
      <c r="JI28" s="61">
        <f>44.8+43.4</f>
        <v>88.199999999999989</v>
      </c>
      <c r="JJ28" s="565" t="s">
        <v>2632</v>
      </c>
      <c r="JK28" s="545">
        <v>75.599999999999994</v>
      </c>
      <c r="JL28" s="366" t="s">
        <v>2729</v>
      </c>
      <c r="JM28" s="273">
        <f>SUM(JO11:JO13)</f>
        <v>116477.65199999999</v>
      </c>
      <c r="JN28" s="577" t="s">
        <v>2943</v>
      </c>
      <c r="JO28" s="78">
        <v>20</v>
      </c>
      <c r="JP28" s="609"/>
      <c r="JQ28" s="2"/>
      <c r="JR28" s="346" t="s">
        <v>2131</v>
      </c>
      <c r="JS28" s="268">
        <f>SUM(JU9:JU10)</f>
        <v>15.379999999999999</v>
      </c>
      <c r="JT28" s="614" t="s">
        <v>2943</v>
      </c>
      <c r="JU28" s="78">
        <f>13</f>
        <v>13</v>
      </c>
      <c r="JV28" s="645"/>
      <c r="JW28" s="61"/>
      <c r="JX28" s="683"/>
      <c r="JY28" s="683"/>
      <c r="JZ28" s="345" t="s">
        <v>2837</v>
      </c>
      <c r="KA28" s="61">
        <f>(15+6.5)*2</f>
        <v>43</v>
      </c>
      <c r="KB28" s="769"/>
      <c r="KC28" s="769"/>
      <c r="KD28" s="698" t="s">
        <v>2662</v>
      </c>
      <c r="KE28" s="698"/>
      <c r="KF28" s="337" t="s">
        <v>2881</v>
      </c>
      <c r="KG28" s="443">
        <v>21.12</v>
      </c>
      <c r="KH28" s="746" t="s">
        <v>2581</v>
      </c>
      <c r="KI28" s="2"/>
      <c r="KJ28" s="783"/>
      <c r="KK28" s="783"/>
      <c r="KL28" s="337" t="s">
        <v>2902</v>
      </c>
      <c r="KM28" s="61">
        <v>30.06</v>
      </c>
      <c r="KN28" s="746" t="s">
        <v>2910</v>
      </c>
      <c r="KO28" s="2">
        <v>110</v>
      </c>
      <c r="KR28" s="143" t="s">
        <v>1195</v>
      </c>
      <c r="KS28" s="61">
        <f>15+6.5</f>
        <v>21.5</v>
      </c>
      <c r="KT28" s="796" t="s">
        <v>2949</v>
      </c>
      <c r="KU28" s="268">
        <v>10</v>
      </c>
      <c r="KV28" s="493">
        <v>45228</v>
      </c>
    </row>
    <row r="29" spans="1:309">
      <c r="A29" s="887" t="s">
        <v>992</v>
      </c>
      <c r="B29" s="887"/>
      <c r="E29" s="193" t="s">
        <v>372</v>
      </c>
      <c r="F29" s="194"/>
      <c r="G29" s="887" t="s">
        <v>992</v>
      </c>
      <c r="H29" s="887"/>
      <c r="K29" s="143" t="s">
        <v>1015</v>
      </c>
      <c r="L29" s="142">
        <v>64</v>
      </c>
      <c r="M29" s="860" t="s">
        <v>385</v>
      </c>
      <c r="N29" s="860"/>
      <c r="Q29"/>
      <c r="S29" s="860" t="s">
        <v>385</v>
      </c>
      <c r="T29" s="860"/>
      <c r="W29" s="143" t="s">
        <v>1014</v>
      </c>
      <c r="X29" s="142">
        <v>100.01</v>
      </c>
      <c r="Y29" s="879" t="s">
        <v>93</v>
      </c>
      <c r="Z29" s="879"/>
      <c r="AC29" s="142" t="s">
        <v>1087</v>
      </c>
      <c r="AD29" s="142">
        <v>65</v>
      </c>
      <c r="AE29" s="860" t="s">
        <v>385</v>
      </c>
      <c r="AF29" s="860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881" t="s">
        <v>1747</v>
      </c>
      <c r="FK29" s="881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1891</v>
      </c>
      <c r="FU29">
        <f>4980.91-5005</f>
        <v>-24.090000000000146</v>
      </c>
      <c r="FV29" s="337" t="s">
        <v>1915</v>
      </c>
      <c r="FW29">
        <v>6.3</v>
      </c>
      <c r="FX29" s="1" t="s">
        <v>1869</v>
      </c>
      <c r="FY29" s="272">
        <v>5005</v>
      </c>
      <c r="GB29" s="337" t="s">
        <v>1933</v>
      </c>
      <c r="GC29">
        <v>127.1</v>
      </c>
      <c r="GD29" s="1" t="s">
        <v>1869</v>
      </c>
      <c r="GE29" s="272">
        <v>4004</v>
      </c>
      <c r="GF29" s="6"/>
      <c r="GH29" s="337" t="s">
        <v>1940</v>
      </c>
      <c r="GI29">
        <v>70</v>
      </c>
      <c r="GJ29" s="1" t="s">
        <v>1869</v>
      </c>
      <c r="GK29" s="272">
        <v>808</v>
      </c>
      <c r="GN29" s="337" t="s">
        <v>2011</v>
      </c>
      <c r="GO29">
        <v>20</v>
      </c>
      <c r="GP29" s="1" t="s">
        <v>1869</v>
      </c>
      <c r="GQ29" s="272" t="s">
        <v>1079</v>
      </c>
      <c r="GT29" s="337" t="s">
        <v>2045</v>
      </c>
      <c r="GU29">
        <v>10</v>
      </c>
      <c r="GV29" s="254" t="s">
        <v>1632</v>
      </c>
      <c r="GW29" s="278"/>
      <c r="GZ29" s="337" t="s">
        <v>2066</v>
      </c>
      <c r="HA29">
        <f>80+105</f>
        <v>185</v>
      </c>
      <c r="HB29" s="1" t="s">
        <v>1890</v>
      </c>
      <c r="HC29" s="272">
        <v>0</v>
      </c>
      <c r="HD29" s="1"/>
      <c r="HF29" s="337" t="s">
        <v>2127</v>
      </c>
      <c r="HG29">
        <f>74.8-6.1</f>
        <v>68.7</v>
      </c>
      <c r="HH29" t="s">
        <v>2112</v>
      </c>
      <c r="HI29" s="202">
        <v>-114.61</v>
      </c>
      <c r="HJ29" s="349" t="s">
        <v>2130</v>
      </c>
      <c r="HK29">
        <f>SUM(HM19:HM23)</f>
        <v>275.58</v>
      </c>
      <c r="HL29" s="385">
        <v>20</v>
      </c>
      <c r="HM29" s="340" t="s">
        <v>2088</v>
      </c>
      <c r="HN29" s="376"/>
      <c r="HO29" s="278"/>
      <c r="HP29" s="362" t="s">
        <v>1392</v>
      </c>
      <c r="HQ29">
        <v>0</v>
      </c>
      <c r="HR29" s="337" t="s">
        <v>2066</v>
      </c>
      <c r="HS29">
        <v>80</v>
      </c>
      <c r="HT29" s="1" t="s">
        <v>2137</v>
      </c>
      <c r="HU29" s="272">
        <v>4000</v>
      </c>
      <c r="HV29" s="337" t="s">
        <v>2130</v>
      </c>
      <c r="HW29">
        <f>SUM(HY25:HY30)</f>
        <v>271.94</v>
      </c>
      <c r="HX29" s="337" t="s">
        <v>2785</v>
      </c>
      <c r="HY29">
        <f>22.3+42.9</f>
        <v>65.2</v>
      </c>
      <c r="HZ29" s="254" t="s">
        <v>2188</v>
      </c>
      <c r="IB29" s="346" t="s">
        <v>2131</v>
      </c>
      <c r="IC29">
        <f>SUM(IE9:IE9)</f>
        <v>32.1</v>
      </c>
      <c r="ID29" s="337" t="s">
        <v>2279</v>
      </c>
      <c r="IE29">
        <v>80</v>
      </c>
      <c r="IF29" s="253" t="s">
        <v>2207</v>
      </c>
      <c r="IG29" s="278"/>
      <c r="IH29" s="378" t="s">
        <v>2337</v>
      </c>
      <c r="II29" s="423">
        <f>19.45*3</f>
        <v>58.349999999999994</v>
      </c>
      <c r="IJ29" s="337" t="s">
        <v>2375</v>
      </c>
      <c r="IK29">
        <f>7.15+14.85</f>
        <v>22</v>
      </c>
      <c r="IL29" s="377" t="s">
        <v>2208</v>
      </c>
      <c r="IM29" s="400">
        <v>21.35</v>
      </c>
      <c r="IN29" s="378"/>
      <c r="IO29" s="423"/>
      <c r="IP29" s="337" t="s">
        <v>2432</v>
      </c>
      <c r="IQ29" s="61">
        <v>23.1</v>
      </c>
      <c r="IR29" s="440" t="s">
        <v>2399</v>
      </c>
      <c r="IS29" s="439" t="s">
        <v>2400</v>
      </c>
      <c r="IT29" s="337" t="s">
        <v>2694</v>
      </c>
      <c r="IU29" s="460">
        <f>SUM(IW22:IW25)</f>
        <v>188.39</v>
      </c>
      <c r="IV29" s="365" t="s">
        <v>1411</v>
      </c>
      <c r="IW29" s="384">
        <f>IS19+IU30-IY20</f>
        <v>70</v>
      </c>
      <c r="IX29" s="460" t="s">
        <v>506</v>
      </c>
      <c r="IZ29" s="192" t="s">
        <v>1929</v>
      </c>
      <c r="JA29" s="273">
        <f>SUM(JC7:JC7)</f>
        <v>1900.03</v>
      </c>
      <c r="JB29" s="337" t="s">
        <v>2563</v>
      </c>
      <c r="JC29" s="61">
        <v>64.75</v>
      </c>
      <c r="JD29" s="502" t="s">
        <v>506</v>
      </c>
      <c r="JF29" s="366" t="s">
        <v>1930</v>
      </c>
      <c r="JG29" s="273">
        <f>SUM(JI12:JI15)</f>
        <v>156875.80412602739</v>
      </c>
      <c r="JH29" s="337" t="s">
        <v>2621</v>
      </c>
      <c r="JI29" s="443">
        <v>40.9</v>
      </c>
      <c r="JJ29" s="562"/>
      <c r="JL29" s="350" t="s">
        <v>1392</v>
      </c>
      <c r="JM29" s="268">
        <f>SUM(JO8:JO9)</f>
        <v>175.82999999999998</v>
      </c>
      <c r="JN29" s="9" t="s">
        <v>2162</v>
      </c>
      <c r="JO29" s="444">
        <f>250+254+164+105</f>
        <v>773</v>
      </c>
      <c r="JP29" s="609"/>
      <c r="JQ29" s="2"/>
      <c r="JR29" s="348" t="s">
        <v>2132</v>
      </c>
      <c r="JS29" s="268">
        <f>SUM(JU14:JU22)</f>
        <v>1271.7839999999999</v>
      </c>
      <c r="JT29" s="9" t="s">
        <v>2162</v>
      </c>
      <c r="JU29" s="444">
        <f>144+160+67</f>
        <v>371</v>
      </c>
      <c r="JX29" s="684"/>
      <c r="JY29" s="684"/>
      <c r="JZ29" s="345" t="s">
        <v>2682</v>
      </c>
      <c r="KA29" s="61">
        <f>9+14.32+(9+9)</f>
        <v>41.32</v>
      </c>
      <c r="KB29" s="703" t="s">
        <v>506</v>
      </c>
      <c r="KD29" s="668" t="s">
        <v>1929</v>
      </c>
      <c r="KE29" s="273">
        <f>SUM(KG6:KG6)</f>
        <v>1900.09</v>
      </c>
      <c r="KF29" s="9" t="s">
        <v>2162</v>
      </c>
      <c r="KG29" s="444">
        <f>341+171</f>
        <v>512</v>
      </c>
      <c r="KH29" s="748" t="s">
        <v>2393</v>
      </c>
      <c r="KI29" s="2">
        <v>1000</v>
      </c>
      <c r="KJ29" s="783"/>
      <c r="KK29" s="783"/>
      <c r="KL29" s="337" t="s">
        <v>2967</v>
      </c>
      <c r="KM29" s="61">
        <v>21.5</v>
      </c>
      <c r="KN29" s="748" t="s">
        <v>2393</v>
      </c>
      <c r="KO29" s="2">
        <v>1000</v>
      </c>
      <c r="KQ29" s="795"/>
      <c r="KR29" s="143" t="s">
        <v>2682</v>
      </c>
      <c r="KS29" s="61">
        <f>14.32+9+9</f>
        <v>32.32</v>
      </c>
      <c r="KT29" s="795" t="s">
        <v>3067</v>
      </c>
      <c r="KU29" s="2">
        <v>100</v>
      </c>
      <c r="KV29" s="493">
        <v>45224</v>
      </c>
    </row>
    <row r="30" spans="1:309">
      <c r="A30" s="879" t="s">
        <v>93</v>
      </c>
      <c r="B30" s="879"/>
      <c r="E30" s="193" t="s">
        <v>1007</v>
      </c>
      <c r="F30" s="170"/>
      <c r="G30" s="879" t="s">
        <v>93</v>
      </c>
      <c r="H30" s="879"/>
      <c r="K30" s="143" t="s">
        <v>1014</v>
      </c>
      <c r="L30" s="142">
        <v>50.01</v>
      </c>
      <c r="M30" s="886" t="s">
        <v>1001</v>
      </c>
      <c r="N30" s="886"/>
      <c r="Q30" s="143" t="s">
        <v>1052</v>
      </c>
      <c r="R30" s="142">
        <v>26</v>
      </c>
      <c r="S30" s="886" t="s">
        <v>1001</v>
      </c>
      <c r="T30" s="886"/>
      <c r="W30"/>
      <c r="Y30" s="860" t="s">
        <v>385</v>
      </c>
      <c r="Z30" s="860"/>
      <c r="AC30" s="142" t="s">
        <v>1090</v>
      </c>
      <c r="AD30" s="142">
        <v>10</v>
      </c>
      <c r="AE30" s="886" t="s">
        <v>1001</v>
      </c>
      <c r="AF30" s="886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65" t="s">
        <v>1747</v>
      </c>
      <c r="FW30" s="365"/>
      <c r="FX30" s="1" t="s">
        <v>1890</v>
      </c>
      <c r="FY30" s="272" t="s">
        <v>686</v>
      </c>
      <c r="GB30" s="337" t="s">
        <v>1932</v>
      </c>
      <c r="GC30">
        <v>18.8</v>
      </c>
      <c r="GD30" s="1" t="s">
        <v>1890</v>
      </c>
      <c r="GE30" s="272" t="s">
        <v>686</v>
      </c>
      <c r="GF30" s="1"/>
      <c r="GG30" s="3"/>
      <c r="GH30" s="337" t="s">
        <v>1976</v>
      </c>
      <c r="GI30">
        <v>16</v>
      </c>
      <c r="GJ30" s="6" t="s">
        <v>1811</v>
      </c>
      <c r="GK30" s="272">
        <v>300</v>
      </c>
      <c r="GN30" s="337" t="s">
        <v>1997</v>
      </c>
      <c r="GO30">
        <v>10</v>
      </c>
      <c r="GP30" s="6" t="s">
        <v>1811</v>
      </c>
      <c r="GQ30" s="272">
        <v>300</v>
      </c>
      <c r="GR30" s="6"/>
      <c r="GT30" s="337" t="s">
        <v>2029</v>
      </c>
      <c r="GU30">
        <v>10</v>
      </c>
      <c r="GV30" s="253" t="s">
        <v>2035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65" t="s">
        <v>1747</v>
      </c>
      <c r="HG30" s="63"/>
      <c r="HH30" s="376" t="s">
        <v>2104</v>
      </c>
      <c r="HI30" s="378">
        <v>258.44</v>
      </c>
      <c r="HJ30" s="337" t="s">
        <v>2643</v>
      </c>
      <c r="HK30">
        <f>SUM(HM20:HM23)</f>
        <v>255.57999999999998</v>
      </c>
      <c r="HL30" s="385">
        <v>60</v>
      </c>
      <c r="HM30" s="340" t="s">
        <v>2113</v>
      </c>
      <c r="HP30" s="346" t="s">
        <v>2131</v>
      </c>
      <c r="HQ30">
        <f>SUM(HS7:HS8)</f>
        <v>1867.15</v>
      </c>
      <c r="HR30" t="s">
        <v>2163</v>
      </c>
      <c r="HS30" s="6">
        <v>37</v>
      </c>
      <c r="HT30" s="1" t="s">
        <v>1985</v>
      </c>
      <c r="HU30" s="272">
        <v>25000</v>
      </c>
      <c r="HV30" s="337" t="s">
        <v>2643</v>
      </c>
      <c r="HW30">
        <f>SUM(HY26:HY30)</f>
        <v>251.94</v>
      </c>
      <c r="HX30" s="337" t="s">
        <v>2242</v>
      </c>
      <c r="HY30">
        <v>11</v>
      </c>
      <c r="HZ30" s="436" t="s">
        <v>2395</v>
      </c>
      <c r="IA30" s="435">
        <v>4</v>
      </c>
      <c r="IB30" s="345" t="s">
        <v>2132</v>
      </c>
      <c r="IC30" s="387">
        <f>SUM(IE18:IE26)</f>
        <v>1421.2533333333333</v>
      </c>
      <c r="ID30" s="337" t="s">
        <v>2307</v>
      </c>
      <c r="IE30">
        <v>62</v>
      </c>
      <c r="IF30" s="377" t="s">
        <v>2208</v>
      </c>
      <c r="IG30" s="400">
        <v>21.35</v>
      </c>
      <c r="IH30" s="378" t="s">
        <v>2338</v>
      </c>
      <c r="II30" s="423">
        <f>19.45*25</f>
        <v>486.25</v>
      </c>
      <c r="IJ30" s="337" t="s">
        <v>2374</v>
      </c>
      <c r="IK30">
        <v>34</v>
      </c>
      <c r="IL30" s="438" t="s">
        <v>2397</v>
      </c>
      <c r="IM30">
        <v>1.49</v>
      </c>
      <c r="IN30" s="378"/>
      <c r="IO30" s="423"/>
      <c r="IP30" s="337" t="s">
        <v>2460</v>
      </c>
      <c r="IQ30" s="61" t="s">
        <v>2461</v>
      </c>
      <c r="IR30" s="452"/>
      <c r="IS30" s="437"/>
      <c r="IT30" s="461" t="s">
        <v>2462</v>
      </c>
      <c r="IU30" s="353">
        <v>90</v>
      </c>
      <c r="IV30" s="385">
        <v>5</v>
      </c>
      <c r="IW30" s="453" t="s">
        <v>2459</v>
      </c>
      <c r="IX30" s="9" t="s">
        <v>1865</v>
      </c>
      <c r="IZ30" s="245" t="s">
        <v>1930</v>
      </c>
      <c r="JA30" s="273">
        <f>SUM(JC14:JC16)</f>
        <v>4142.9809999999998</v>
      </c>
      <c r="JB30" s="539" t="s">
        <v>2578</v>
      </c>
      <c r="JC30" s="443">
        <f>3.3+7.001</f>
        <v>10.301</v>
      </c>
      <c r="JD30" s="502" t="s">
        <v>93</v>
      </c>
      <c r="JF30" s="350" t="s">
        <v>1392</v>
      </c>
      <c r="JG30" s="2">
        <f>SUM(JI8:JI8)</f>
        <v>327.74</v>
      </c>
      <c r="JH30" s="337" t="s">
        <v>2625</v>
      </c>
      <c r="JI30" s="443">
        <f>8.65*2</f>
        <v>17.3</v>
      </c>
      <c r="JJ30" s="569"/>
      <c r="JL30" s="346" t="s">
        <v>2131</v>
      </c>
      <c r="JM30" s="268">
        <f>SUM(JO10:JO10)</f>
        <v>669.59999999999991</v>
      </c>
      <c r="JN30" s="388">
        <v>20.350000000000001</v>
      </c>
      <c r="JO30" s="444"/>
      <c r="JQ30" s="2"/>
      <c r="JR30" s="337" t="s">
        <v>2130</v>
      </c>
      <c r="JS30" s="268">
        <f>SUM(JU23:JU27)</f>
        <v>179.60000000000002</v>
      </c>
      <c r="JT30" s="388">
        <v>24.07</v>
      </c>
      <c r="JU30" s="444"/>
      <c r="JX30" s="684"/>
      <c r="JY30" s="684"/>
      <c r="JZ30" s="345" t="s">
        <v>3052</v>
      </c>
      <c r="KA30" s="61">
        <f>64+30.9</f>
        <v>94.9</v>
      </c>
      <c r="KB30" s="703" t="s">
        <v>93</v>
      </c>
      <c r="KD30" s="366" t="s">
        <v>2993</v>
      </c>
      <c r="KE30" s="273">
        <f>SUM(KG8:KG10)</f>
        <v>203044.96999999997</v>
      </c>
      <c r="KF30" s="388">
        <v>34.15</v>
      </c>
      <c r="KG30" s="444"/>
      <c r="KH30" s="745" t="s">
        <v>2411</v>
      </c>
      <c r="KI30" s="61"/>
      <c r="KL30" s="337" t="s">
        <v>2975</v>
      </c>
      <c r="KM30" s="443">
        <v>44.55</v>
      </c>
      <c r="KN30" s="745" t="s">
        <v>2411</v>
      </c>
      <c r="KO30" s="61"/>
      <c r="KR30" s="143" t="s">
        <v>2311</v>
      </c>
      <c r="KS30" s="61">
        <f>10+18.51+10+16.63+15.78+16.9+10+16.2+16.87+10+10+20.2+10+10</f>
        <v>191.08999999999997</v>
      </c>
      <c r="KT30" s="797" t="s">
        <v>2393</v>
      </c>
      <c r="KU30" s="2">
        <v>1000</v>
      </c>
    </row>
    <row r="31" spans="1:309" ht="12.75" customHeight="1">
      <c r="A31" s="860" t="s">
        <v>385</v>
      </c>
      <c r="B31" s="860"/>
      <c r="E31" s="170"/>
      <c r="F31" s="170"/>
      <c r="G31" s="860" t="s">
        <v>385</v>
      </c>
      <c r="H31" s="860"/>
      <c r="K31"/>
      <c r="M31" s="883" t="s">
        <v>243</v>
      </c>
      <c r="N31" s="883"/>
      <c r="Q31" s="143" t="s">
        <v>1051</v>
      </c>
      <c r="R31" s="142">
        <v>55</v>
      </c>
      <c r="S31" s="883" t="s">
        <v>243</v>
      </c>
      <c r="T31" s="883"/>
      <c r="W31" s="243" t="s">
        <v>1072</v>
      </c>
      <c r="X31" s="243">
        <v>0</v>
      </c>
      <c r="Y31" s="886" t="s">
        <v>1001</v>
      </c>
      <c r="Z31" s="886"/>
      <c r="AE31" s="883" t="s">
        <v>243</v>
      </c>
      <c r="AF31" s="883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890" t="s">
        <v>1438</v>
      </c>
      <c r="DP31" s="890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1936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1890</v>
      </c>
      <c r="GK31" s="272">
        <v>0</v>
      </c>
      <c r="GN31" s="337" t="s">
        <v>2012</v>
      </c>
      <c r="GO31">
        <v>14.06</v>
      </c>
      <c r="GP31" s="254" t="s">
        <v>1632</v>
      </c>
      <c r="GQ31" s="278"/>
      <c r="GR31" s="1"/>
      <c r="GS31" s="3"/>
      <c r="GT31" s="337" t="s">
        <v>2031</v>
      </c>
      <c r="GU31">
        <v>47.67</v>
      </c>
      <c r="GV31" s="253"/>
      <c r="GZ31" s="337" t="s">
        <v>2093</v>
      </c>
      <c r="HA31">
        <v>41.4</v>
      </c>
      <c r="HB31" s="253" t="s">
        <v>2101</v>
      </c>
      <c r="HC31" s="283">
        <v>1159.4000000000001</v>
      </c>
      <c r="HF31" s="353">
        <v>200</v>
      </c>
      <c r="HG31" s="365"/>
      <c r="HH31" s="376" t="s">
        <v>2104</v>
      </c>
      <c r="HI31" s="378">
        <v>23.05</v>
      </c>
      <c r="HJ31" s="340" t="s">
        <v>2160</v>
      </c>
      <c r="HK31" s="353">
        <v>300</v>
      </c>
      <c r="HL31" s="385">
        <v>45</v>
      </c>
      <c r="HM31" s="340" t="s">
        <v>1602</v>
      </c>
      <c r="HP31" s="345" t="s">
        <v>2132</v>
      </c>
      <c r="HQ31" s="387">
        <f>SUM(HS12:HS23)</f>
        <v>1323.1366666666668</v>
      </c>
      <c r="HR31" s="9" t="s">
        <v>2162</v>
      </c>
      <c r="HS31" s="9">
        <v>429</v>
      </c>
      <c r="HT31" s="1" t="s">
        <v>1638</v>
      </c>
      <c r="HU31" s="272">
        <v>2000</v>
      </c>
      <c r="HX31" t="s">
        <v>2163</v>
      </c>
      <c r="HY31" s="6">
        <v>20</v>
      </c>
      <c r="HZ31" s="7" t="s">
        <v>1970</v>
      </c>
      <c r="IA31">
        <v>1000</v>
      </c>
      <c r="IB31" s="337" t="s">
        <v>2130</v>
      </c>
      <c r="IC31">
        <f>SUM(IE27:IE35)</f>
        <v>712.47</v>
      </c>
      <c r="ID31" s="337" t="s">
        <v>2314</v>
      </c>
      <c r="IE31">
        <v>10</v>
      </c>
      <c r="IF31" s="253" t="s">
        <v>2224</v>
      </c>
      <c r="IG31" s="400">
        <v>125.91</v>
      </c>
      <c r="IH31" s="378"/>
      <c r="II31" s="423"/>
      <c r="IJ31" s="337" t="s">
        <v>2383</v>
      </c>
      <c r="IK31">
        <f>22+32.4</f>
        <v>54.4</v>
      </c>
      <c r="IL31" s="253"/>
      <c r="IM31" s="278"/>
      <c r="IN31" s="379"/>
      <c r="IP31" s="337" t="s">
        <v>2437</v>
      </c>
      <c r="IQ31" s="61">
        <v>42.17</v>
      </c>
      <c r="IR31" s="454"/>
      <c r="IV31" s="385">
        <v>50</v>
      </c>
      <c r="IW31" s="453" t="s">
        <v>1828</v>
      </c>
      <c r="IX31" s="460" t="s">
        <v>93</v>
      </c>
      <c r="IZ31" s="350" t="s">
        <v>1392</v>
      </c>
      <c r="JA31" s="268">
        <f>SUM(JC8:JC10)</f>
        <v>1354.32</v>
      </c>
      <c r="JB31" s="539" t="s">
        <v>2579</v>
      </c>
      <c r="JC31" s="443">
        <v>74.959999999999994</v>
      </c>
      <c r="JD31" s="502" t="s">
        <v>1034</v>
      </c>
      <c r="JF31" s="346" t="s">
        <v>2131</v>
      </c>
      <c r="JG31" s="363">
        <f>SUM(JI9:JI11)</f>
        <v>2683.17</v>
      </c>
      <c r="JH31" s="337" t="s">
        <v>2633</v>
      </c>
      <c r="JI31" s="443">
        <f>6.2+29.5</f>
        <v>35.700000000000003</v>
      </c>
      <c r="JL31" s="348" t="s">
        <v>2132</v>
      </c>
      <c r="JM31" s="268">
        <f>SUM(JO14:JO21)</f>
        <v>1710.4379999999999</v>
      </c>
      <c r="JN31" s="365" t="s">
        <v>1411</v>
      </c>
      <c r="JO31" s="384">
        <f>JK22+JM35-JQ20</f>
        <v>770</v>
      </c>
      <c r="JQ31" s="2"/>
      <c r="JR31" s="337" t="s">
        <v>2867</v>
      </c>
      <c r="JS31" s="719">
        <f>SUM(JU24:JU27)</f>
        <v>169.60000000000002</v>
      </c>
      <c r="JT31" s="365" t="s">
        <v>1411</v>
      </c>
      <c r="JU31" s="384">
        <f>JQ20+JS34-JW19</f>
        <v>70</v>
      </c>
      <c r="JX31" s="684"/>
      <c r="JY31" s="684"/>
      <c r="JZ31" s="345" t="s">
        <v>2732</v>
      </c>
      <c r="KA31" s="203">
        <v>10.8</v>
      </c>
      <c r="KB31" s="703" t="s">
        <v>1034</v>
      </c>
      <c r="KD31" s="350" t="s">
        <v>1392</v>
      </c>
      <c r="KE31" s="2">
        <v>0</v>
      </c>
      <c r="KF31" s="365" t="s">
        <v>1411</v>
      </c>
      <c r="KG31" s="384">
        <f>KC19+KE36-KI27</f>
        <v>190</v>
      </c>
      <c r="KH31" s="745" t="s">
        <v>2815</v>
      </c>
      <c r="KI31" s="61">
        <v>1.64</v>
      </c>
      <c r="KK31" s="746"/>
      <c r="KL31" s="337" t="s">
        <v>2657</v>
      </c>
      <c r="KM31" s="443">
        <v>57.86</v>
      </c>
      <c r="KN31" s="786" t="s">
        <v>3012</v>
      </c>
      <c r="KO31" s="61">
        <v>3.54</v>
      </c>
      <c r="KR31" s="337" t="s">
        <v>3106</v>
      </c>
      <c r="KS31" s="61">
        <v>60</v>
      </c>
      <c r="KT31" s="794" t="s">
        <v>2411</v>
      </c>
      <c r="KU31" s="61"/>
    </row>
    <row r="32" spans="1:309">
      <c r="A32" s="886" t="s">
        <v>1001</v>
      </c>
      <c r="B32" s="886"/>
      <c r="C32" s="3"/>
      <c r="D32" s="3"/>
      <c r="E32" s="246"/>
      <c r="F32" s="246"/>
      <c r="G32" s="886" t="s">
        <v>1001</v>
      </c>
      <c r="H32" s="886"/>
      <c r="K32" s="243" t="s">
        <v>1021</v>
      </c>
      <c r="L32" s="243"/>
      <c r="M32" s="888" t="s">
        <v>1034</v>
      </c>
      <c r="N32" s="888"/>
      <c r="Q32" s="143" t="s">
        <v>1016</v>
      </c>
      <c r="R32" s="142">
        <v>77.239999999999995</v>
      </c>
      <c r="S32" s="888" t="s">
        <v>1034</v>
      </c>
      <c r="T32" s="888"/>
      <c r="Y32" s="883" t="s">
        <v>243</v>
      </c>
      <c r="Z32" s="883"/>
      <c r="AC32" s="197" t="s">
        <v>1012</v>
      </c>
      <c r="AD32" s="142">
        <v>350</v>
      </c>
      <c r="AE32" s="888" t="s">
        <v>1034</v>
      </c>
      <c r="AF32" s="888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893" t="s">
        <v>1411</v>
      </c>
      <c r="DB32" s="894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1895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65" t="s">
        <v>1747</v>
      </c>
      <c r="GI32" s="365"/>
      <c r="GJ32" s="254" t="s">
        <v>1632</v>
      </c>
      <c r="GK32" s="278"/>
      <c r="GN32" s="337" t="s">
        <v>2008</v>
      </c>
      <c r="GO32">
        <v>10</v>
      </c>
      <c r="GP32" s="360" t="s">
        <v>1949</v>
      </c>
      <c r="GQ32" s="6">
        <v>35.1</v>
      </c>
      <c r="GT32" s="337" t="s">
        <v>2778</v>
      </c>
      <c r="GU32">
        <f>37.5+18.7</f>
        <v>56.2</v>
      </c>
      <c r="GV32" s="253"/>
      <c r="GW32" s="278"/>
      <c r="GZ32" s="337" t="s">
        <v>2085</v>
      </c>
      <c r="HA32">
        <f>12.35+5.8</f>
        <v>18.149999999999999</v>
      </c>
      <c r="HB32" s="253" t="s">
        <v>2075</v>
      </c>
      <c r="HC32" s="283">
        <v>13.5</v>
      </c>
      <c r="HF32" s="341" t="s">
        <v>2099</v>
      </c>
      <c r="HG32" s="354">
        <f>HC17+HF31-HI16</f>
        <v>200</v>
      </c>
      <c r="HH32" s="377" t="s">
        <v>2117</v>
      </c>
      <c r="HI32" s="379">
        <v>1580.64</v>
      </c>
      <c r="HK32" s="207"/>
      <c r="HL32" s="385">
        <v>5</v>
      </c>
      <c r="HM32" s="340" t="s">
        <v>2164</v>
      </c>
      <c r="HP32" s="345" t="s">
        <v>2204</v>
      </c>
      <c r="HQ32" s="387"/>
      <c r="HR32" s="388">
        <v>28.54</v>
      </c>
      <c r="HS32" s="9" t="s">
        <v>2161</v>
      </c>
      <c r="HT32" s="1" t="s">
        <v>1639</v>
      </c>
      <c r="HU32" s="272">
        <v>4000</v>
      </c>
      <c r="HX32" s="142" t="s">
        <v>2230</v>
      </c>
      <c r="HY32" s="6">
        <v>10</v>
      </c>
      <c r="HZ32" s="1" t="s">
        <v>1983</v>
      </c>
      <c r="IA32" s="272">
        <v>3000</v>
      </c>
      <c r="IB32" s="337" t="s">
        <v>2643</v>
      </c>
      <c r="IC32">
        <f>SUM(IE31:IE35)</f>
        <v>210.71</v>
      </c>
      <c r="ID32" s="337" t="s">
        <v>2309</v>
      </c>
      <c r="IE32">
        <f>40.3+11+11.4+19.2</f>
        <v>81.899999999999991</v>
      </c>
      <c r="IF32" s="253" t="s">
        <v>2319</v>
      </c>
      <c r="IG32" s="278">
        <v>146</v>
      </c>
      <c r="IH32" s="378"/>
      <c r="II32" s="423"/>
      <c r="IJ32" s="337" t="s">
        <v>2384</v>
      </c>
      <c r="IK32">
        <f>10.1+8+57.3+1.6</f>
        <v>77</v>
      </c>
      <c r="IL32" t="s">
        <v>506</v>
      </c>
      <c r="IN32" s="837" t="s">
        <v>2136</v>
      </c>
      <c r="IO32" s="837"/>
      <c r="IP32" s="337" t="s">
        <v>2456</v>
      </c>
      <c r="IQ32" s="61">
        <v>6.5</v>
      </c>
      <c r="IR32" t="s">
        <v>506</v>
      </c>
      <c r="IV32" s="385">
        <v>10</v>
      </c>
      <c r="IW32" s="453" t="s">
        <v>2523</v>
      </c>
      <c r="IX32" s="460" t="s">
        <v>2326</v>
      </c>
      <c r="IZ32" s="346" t="s">
        <v>2131</v>
      </c>
      <c r="JA32" s="268">
        <f>SUM(JC11:JC13)</f>
        <v>762.4899999999999</v>
      </c>
      <c r="JB32" s="539" t="s">
        <v>2598</v>
      </c>
      <c r="JC32" s="443">
        <v>74.13</v>
      </c>
      <c r="JF32" s="348" t="s">
        <v>2132</v>
      </c>
      <c r="JG32" s="2">
        <f>SUM(JI16:JI24)</f>
        <v>412.16</v>
      </c>
      <c r="JH32" s="545" t="s">
        <v>2943</v>
      </c>
      <c r="JI32" s="78">
        <v>78</v>
      </c>
      <c r="JJ32" s="545" t="s">
        <v>506</v>
      </c>
      <c r="JL32" s="337" t="s">
        <v>2130</v>
      </c>
      <c r="JM32" s="268">
        <f>SUM(JO22:JO27)</f>
        <v>3204.23</v>
      </c>
      <c r="JN32" s="385">
        <v>60</v>
      </c>
      <c r="JO32" s="453" t="s">
        <v>1828</v>
      </c>
      <c r="JQ32" s="2"/>
      <c r="JT32" s="385">
        <v>30</v>
      </c>
      <c r="JU32" s="453" t="s">
        <v>2709</v>
      </c>
      <c r="JZ32" s="345" t="s">
        <v>2311</v>
      </c>
      <c r="KA32" s="61">
        <f>16.3+16.34+12.3+10+15.21+16.19+10+16.01+15.57+10+10+15.19</f>
        <v>163.11000000000001</v>
      </c>
      <c r="KB32" s="703"/>
      <c r="KD32" s="346" t="s">
        <v>2131</v>
      </c>
      <c r="KE32" s="2">
        <f>SUM(KG7:KG7)</f>
        <v>10.25</v>
      </c>
      <c r="KF32" s="385">
        <v>10</v>
      </c>
      <c r="KG32" s="669" t="s">
        <v>2770</v>
      </c>
      <c r="KH32" s="745" t="s">
        <v>2872</v>
      </c>
      <c r="KI32" s="61"/>
      <c r="KL32" s="337" t="s">
        <v>2974</v>
      </c>
      <c r="KM32" s="443">
        <v>36.5</v>
      </c>
      <c r="KN32" s="740" t="s">
        <v>2977</v>
      </c>
      <c r="KO32" s="61">
        <v>58.2</v>
      </c>
      <c r="KR32" s="337" t="s">
        <v>3041</v>
      </c>
      <c r="KS32" s="61">
        <v>5</v>
      </c>
      <c r="KT32" s="821" t="s">
        <v>3055</v>
      </c>
      <c r="KU32" s="61">
        <v>1202.04</v>
      </c>
    </row>
    <row r="33" spans="1:309">
      <c r="A33" s="883" t="s">
        <v>243</v>
      </c>
      <c r="B33" s="883"/>
      <c r="E33" s="187" t="s">
        <v>368</v>
      </c>
      <c r="F33" s="170"/>
      <c r="G33" s="883" t="s">
        <v>243</v>
      </c>
      <c r="H33" s="883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888" t="s">
        <v>1034</v>
      </c>
      <c r="Z33" s="888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65" t="s">
        <v>1747</v>
      </c>
      <c r="GC33" s="365"/>
      <c r="GD33" s="253"/>
      <c r="GE33" s="278"/>
      <c r="GH33" s="353">
        <v>100</v>
      </c>
      <c r="GI33" s="354">
        <f>GE16+GH33-GK17</f>
        <v>70</v>
      </c>
      <c r="GJ33" s="360" t="s">
        <v>1949</v>
      </c>
      <c r="GK33" s="6">
        <v>35.1</v>
      </c>
      <c r="GN33" s="337" t="s">
        <v>1998</v>
      </c>
      <c r="GO33">
        <v>20</v>
      </c>
      <c r="GP33" s="253" t="s">
        <v>2002</v>
      </c>
      <c r="GQ33" s="278">
        <v>81</v>
      </c>
      <c r="GT33" s="365" t="s">
        <v>1747</v>
      </c>
      <c r="GU33" s="63"/>
      <c r="GV33" t="s">
        <v>506</v>
      </c>
      <c r="GZ33" s="337" t="s">
        <v>2060</v>
      </c>
      <c r="HA33">
        <v>31.78</v>
      </c>
      <c r="HB33" s="253" t="s">
        <v>2069</v>
      </c>
      <c r="HC33" s="283">
        <v>12.9</v>
      </c>
      <c r="HF33" s="371">
        <v>35</v>
      </c>
      <c r="HG33" s="375" t="s">
        <v>2090</v>
      </c>
      <c r="HH33" s="377" t="s">
        <v>2135</v>
      </c>
      <c r="HI33" s="379">
        <v>6.1</v>
      </c>
      <c r="HL33" s="385">
        <v>17</v>
      </c>
      <c r="HM33" s="340" t="s">
        <v>2157</v>
      </c>
      <c r="HP33" s="337" t="s">
        <v>2130</v>
      </c>
      <c r="HQ33">
        <f>SUM(HS24:HS29)</f>
        <v>160.6</v>
      </c>
      <c r="HR33" s="365" t="s">
        <v>2176</v>
      </c>
      <c r="HS33" s="384">
        <f>HO18+HQ36-HU24</f>
        <v>100</v>
      </c>
      <c r="HT33" s="254"/>
      <c r="HU33" s="278"/>
      <c r="HX33" s="9" t="s">
        <v>2162</v>
      </c>
      <c r="HY33" s="9">
        <v>434</v>
      </c>
      <c r="HZ33" s="1" t="s">
        <v>2137</v>
      </c>
      <c r="IA33" s="272">
        <v>4000</v>
      </c>
      <c r="IB33" s="214" t="s">
        <v>2500</v>
      </c>
      <c r="IC33" s="488">
        <f>SUM(IE54:IE58)</f>
        <v>235.25000000000003</v>
      </c>
      <c r="ID33" s="337" t="s">
        <v>2284</v>
      </c>
      <c r="IE33">
        <v>30.01</v>
      </c>
      <c r="IH33" s="378"/>
      <c r="II33" s="423"/>
      <c r="IJ33" s="337" t="s">
        <v>2779</v>
      </c>
      <c r="IK33">
        <v>27.9</v>
      </c>
      <c r="IL33" t="s">
        <v>93</v>
      </c>
      <c r="IN33" s="351" t="s">
        <v>1929</v>
      </c>
      <c r="IO33" s="273">
        <f>SUM(IQ6:IQ9)</f>
        <v>3943.01</v>
      </c>
      <c r="IP33" t="s">
        <v>2946</v>
      </c>
      <c r="IQ33" s="78">
        <v>40</v>
      </c>
      <c r="IR33" t="s">
        <v>93</v>
      </c>
      <c r="IU33" s="407"/>
      <c r="IV33" s="495" t="s">
        <v>2508</v>
      </c>
      <c r="IW33" s="442">
        <v>70</v>
      </c>
      <c r="IX33" s="460" t="s">
        <v>1674</v>
      </c>
      <c r="IZ33" s="348" t="s">
        <v>2132</v>
      </c>
      <c r="JA33" s="268">
        <f>SUM(JC17:JC25)</f>
        <v>1699.2099999999998</v>
      </c>
      <c r="JB33" s="539" t="s">
        <v>2920</v>
      </c>
      <c r="JC33" s="443">
        <v>24.71</v>
      </c>
      <c r="JF33" s="337" t="s">
        <v>2130</v>
      </c>
      <c r="JG33" s="2">
        <f>SUM(JI25:JI31)</f>
        <v>353.64</v>
      </c>
      <c r="JH33" s="9" t="s">
        <v>2162</v>
      </c>
      <c r="JI33" s="444">
        <f>158+69+34+259</f>
        <v>520</v>
      </c>
      <c r="JJ33" s="545" t="s">
        <v>93</v>
      </c>
      <c r="JL33" s="337" t="s">
        <v>2694</v>
      </c>
      <c r="JM33" s="2">
        <f>SUM(JO23:JO27)</f>
        <v>251.23</v>
      </c>
      <c r="JN33" s="385">
        <v>40</v>
      </c>
      <c r="JO33" s="453" t="s">
        <v>2665</v>
      </c>
      <c r="JQ33" s="2"/>
      <c r="JT33" s="385">
        <v>10</v>
      </c>
      <c r="JU33" s="453" t="s">
        <v>1828</v>
      </c>
      <c r="JZ33" s="337" t="s">
        <v>3051</v>
      </c>
      <c r="KA33" s="61">
        <f>80+115</f>
        <v>195</v>
      </c>
      <c r="KB33" s="703"/>
      <c r="KD33" s="348" t="s">
        <v>2845</v>
      </c>
      <c r="KE33" s="2">
        <f>SUM(KG11:KG19)</f>
        <v>1038.25</v>
      </c>
      <c r="KF33" s="385">
        <v>70</v>
      </c>
      <c r="KG33" s="453" t="s">
        <v>1828</v>
      </c>
      <c r="KH33" s="745" t="s">
        <v>2879</v>
      </c>
      <c r="KI33" s="283">
        <v>52.8</v>
      </c>
      <c r="KL33" s="337" t="s">
        <v>3002</v>
      </c>
      <c r="KM33" s="443">
        <v>50.1</v>
      </c>
      <c r="KN33" s="766" t="s">
        <v>2988</v>
      </c>
      <c r="KO33" s="61">
        <v>16.3</v>
      </c>
      <c r="KP33" s="787" t="s">
        <v>2662</v>
      </c>
      <c r="KQ33" s="787"/>
      <c r="KR33" s="337" t="s">
        <v>3096</v>
      </c>
      <c r="KS33" s="61">
        <v>43.9</v>
      </c>
      <c r="KT33" s="829" t="s">
        <v>3066</v>
      </c>
      <c r="KU33" s="61"/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1879</v>
      </c>
      <c r="FS34" s="278">
        <v>-738</v>
      </c>
      <c r="FV34" s="340" t="s">
        <v>1917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1969</v>
      </c>
      <c r="GI34" s="341"/>
      <c r="GJ34" s="253" t="s">
        <v>1851</v>
      </c>
      <c r="GK34" s="278">
        <v>20</v>
      </c>
      <c r="GN34" s="337" t="s">
        <v>1988</v>
      </c>
      <c r="GO34">
        <v>23.9</v>
      </c>
      <c r="GP34" s="253" t="s">
        <v>2023</v>
      </c>
      <c r="GQ34" s="278">
        <v>298</v>
      </c>
      <c r="GT34" s="353">
        <v>280</v>
      </c>
      <c r="GU34" s="365"/>
      <c r="GV34" t="s">
        <v>1674</v>
      </c>
      <c r="GZ34" s="337" t="s">
        <v>2062</v>
      </c>
      <c r="HA34">
        <v>64.86</v>
      </c>
      <c r="HB34" s="253" t="s">
        <v>2069</v>
      </c>
      <c r="HC34" s="283">
        <v>22.5</v>
      </c>
      <c r="HF34" s="371">
        <v>40</v>
      </c>
      <c r="HG34" s="340" t="s">
        <v>2088</v>
      </c>
      <c r="HL34" s="385">
        <v>6</v>
      </c>
      <c r="HM34" s="340" t="s">
        <v>2145</v>
      </c>
      <c r="HP34" s="337" t="s">
        <v>2643</v>
      </c>
      <c r="HR34" s="385">
        <v>4</v>
      </c>
      <c r="HS34" s="340" t="s">
        <v>2206</v>
      </c>
      <c r="HT34" s="376"/>
      <c r="HU34" s="278"/>
      <c r="HX34" s="388">
        <v>34.909999999999997</v>
      </c>
      <c r="HY34" s="9"/>
      <c r="HZ34" s="1" t="s">
        <v>1985</v>
      </c>
      <c r="IA34" s="272">
        <v>25000</v>
      </c>
      <c r="ID34" s="337" t="s">
        <v>2294</v>
      </c>
      <c r="IE34">
        <v>40.840000000000003</v>
      </c>
      <c r="IF34" t="s">
        <v>506</v>
      </c>
      <c r="IH34" s="378"/>
      <c r="II34" s="423"/>
      <c r="IJ34" s="337" t="s">
        <v>2377</v>
      </c>
      <c r="IK34">
        <v>84.86</v>
      </c>
      <c r="IL34" t="s">
        <v>2326</v>
      </c>
      <c r="IN34" s="245" t="s">
        <v>1930</v>
      </c>
      <c r="IO34" s="273">
        <f>SUM(IQ12:IQ12)</f>
        <v>1833.7466666666667</v>
      </c>
      <c r="IP34" s="9" t="s">
        <v>2162</v>
      </c>
      <c r="IQ34" s="444">
        <f>102+308+94+155</f>
        <v>659</v>
      </c>
      <c r="IR34" t="s">
        <v>2326</v>
      </c>
      <c r="IU34" s="407"/>
      <c r="IV34" s="417" t="s">
        <v>2491</v>
      </c>
      <c r="IW34" s="460">
        <v>8.67</v>
      </c>
      <c r="IZ34" s="337" t="s">
        <v>2130</v>
      </c>
      <c r="JA34" s="268">
        <f>SUM(JC26:JC34)</f>
        <v>354.85099999999994</v>
      </c>
      <c r="JB34" s="337" t="s">
        <v>2597</v>
      </c>
      <c r="JC34" s="61">
        <v>55</v>
      </c>
      <c r="JF34" s="337" t="s">
        <v>2694</v>
      </c>
      <c r="JG34" s="2">
        <f>SUM(JI27:JI31)</f>
        <v>303.64</v>
      </c>
      <c r="JH34" s="388">
        <v>23.04</v>
      </c>
      <c r="JI34" s="444"/>
      <c r="JJ34" s="545" t="s">
        <v>1034</v>
      </c>
      <c r="JN34" s="385">
        <v>50</v>
      </c>
      <c r="JO34" s="453" t="s">
        <v>2656</v>
      </c>
      <c r="JR34" s="341" t="s">
        <v>2733</v>
      </c>
      <c r="JS34" s="353">
        <v>100</v>
      </c>
      <c r="JT34" s="385">
        <v>10</v>
      </c>
      <c r="JU34" s="453" t="s">
        <v>2711</v>
      </c>
      <c r="JZ34" s="337" t="s">
        <v>2769</v>
      </c>
      <c r="KA34" s="61">
        <v>175</v>
      </c>
      <c r="KB34" s="703"/>
      <c r="KD34" s="337" t="s">
        <v>2130</v>
      </c>
      <c r="KE34" s="2">
        <f>SUM(KG20:KG28)</f>
        <v>457.56100000000004</v>
      </c>
      <c r="KF34" s="385">
        <v>45</v>
      </c>
      <c r="KG34" s="453" t="s">
        <v>2179</v>
      </c>
      <c r="KH34" s="745" t="s">
        <v>2889</v>
      </c>
      <c r="KI34" s="740">
        <v>104</v>
      </c>
      <c r="KL34" s="337" t="s">
        <v>3010</v>
      </c>
      <c r="KM34" s="443">
        <v>121.7</v>
      </c>
      <c r="KN34" s="766" t="s">
        <v>2989</v>
      </c>
      <c r="KO34" s="61">
        <v>52.8</v>
      </c>
      <c r="KP34" s="770" t="s">
        <v>1929</v>
      </c>
      <c r="KQ34" s="273">
        <f>SUM(KS6:KS7)</f>
        <v>2000</v>
      </c>
      <c r="KR34" s="337" t="s">
        <v>3097</v>
      </c>
      <c r="KS34" s="61">
        <v>24.5</v>
      </c>
      <c r="KT34" s="823" t="s">
        <v>3094</v>
      </c>
      <c r="KU34" s="61">
        <v>95</v>
      </c>
    </row>
    <row r="35" spans="1:309" ht="14.25" customHeight="1">
      <c r="A35" s="889"/>
      <c r="B35" s="889"/>
      <c r="E35" s="172" t="s">
        <v>403</v>
      </c>
      <c r="F35" s="170">
        <v>250</v>
      </c>
      <c r="G35" s="889"/>
      <c r="H35" s="889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1910</v>
      </c>
      <c r="FW35" s="341"/>
      <c r="FX35" t="s">
        <v>506</v>
      </c>
      <c r="GB35" s="341" t="s">
        <v>1923</v>
      </c>
      <c r="GC35" s="341"/>
      <c r="GH35" s="340" t="s">
        <v>1961</v>
      </c>
      <c r="GI35" s="341"/>
      <c r="GJ35" s="253" t="s">
        <v>1975</v>
      </c>
      <c r="GK35" s="278">
        <v>20</v>
      </c>
      <c r="GN35" s="337" t="s">
        <v>1990</v>
      </c>
      <c r="GO35">
        <v>95</v>
      </c>
      <c r="GT35" s="341" t="s">
        <v>2044</v>
      </c>
      <c r="GU35" s="354">
        <f>GQ17+GT34-GW16</f>
        <v>262</v>
      </c>
      <c r="GV35" t="s">
        <v>93</v>
      </c>
      <c r="GZ35" s="337" t="s">
        <v>2070</v>
      </c>
      <c r="HA35">
        <v>32.6</v>
      </c>
      <c r="HB35" s="253" t="s">
        <v>2082</v>
      </c>
      <c r="HC35" s="283">
        <v>233.71</v>
      </c>
      <c r="HF35" s="371">
        <v>40</v>
      </c>
      <c r="HG35" s="340" t="s">
        <v>2113</v>
      </c>
      <c r="HH35" t="s">
        <v>506</v>
      </c>
      <c r="HL35" s="376" t="s">
        <v>2122</v>
      </c>
      <c r="HM35" s="344">
        <v>24.7</v>
      </c>
      <c r="HQ35" s="207"/>
      <c r="HR35" s="385">
        <v>40</v>
      </c>
      <c r="HS35" s="340" t="s">
        <v>2088</v>
      </c>
      <c r="HT35" s="376"/>
      <c r="HU35" s="278"/>
      <c r="HV35" s="340" t="s">
        <v>2225</v>
      </c>
      <c r="HW35" s="353">
        <v>220</v>
      </c>
      <c r="HX35" s="365" t="s">
        <v>1411</v>
      </c>
      <c r="HY35" s="384">
        <f>HU24+HW35-IA28</f>
        <v>320</v>
      </c>
      <c r="HZ35" s="1" t="s">
        <v>1638</v>
      </c>
      <c r="IA35" s="272">
        <v>2000</v>
      </c>
      <c r="ID35" s="337" t="s">
        <v>2303</v>
      </c>
      <c r="IE35">
        <v>47.96</v>
      </c>
      <c r="IF35" t="s">
        <v>93</v>
      </c>
      <c r="IH35" s="378"/>
      <c r="II35" s="423"/>
      <c r="IJ35" s="337" t="s">
        <v>2379</v>
      </c>
      <c r="IK35">
        <v>56.9</v>
      </c>
      <c r="IL35" t="s">
        <v>1674</v>
      </c>
      <c r="IN35" s="362" t="s">
        <v>1392</v>
      </c>
      <c r="IO35" s="2">
        <v>0</v>
      </c>
      <c r="IP35" s="388">
        <v>44.08</v>
      </c>
      <c r="IQ35" s="444"/>
      <c r="IR35" t="s">
        <v>1674</v>
      </c>
      <c r="IU35" s="408"/>
      <c r="IV35" s="417" t="s">
        <v>2491</v>
      </c>
      <c r="IW35" s="443">
        <v>23.08</v>
      </c>
      <c r="IZ35" s="337" t="s">
        <v>2694</v>
      </c>
      <c r="JA35" s="2">
        <f>SUM(JC28:JC34)</f>
        <v>337.85099999999994</v>
      </c>
      <c r="JB35" s="502" t="s">
        <v>2947</v>
      </c>
      <c r="JC35" s="78">
        <v>16.87</v>
      </c>
      <c r="JH35" s="365" t="s">
        <v>1411</v>
      </c>
      <c r="JI35" s="384">
        <f>JE21+JG37-JK22</f>
        <v>100</v>
      </c>
      <c r="JL35" s="580" t="s">
        <v>2693</v>
      </c>
      <c r="JM35" s="353">
        <f>50+400+200+100</f>
        <v>750</v>
      </c>
      <c r="JN35" s="385">
        <v>9</v>
      </c>
      <c r="JO35" s="453" t="s">
        <v>2655</v>
      </c>
      <c r="JP35" s="577" t="s">
        <v>506</v>
      </c>
      <c r="JT35" s="385">
        <v>10</v>
      </c>
      <c r="JU35" s="453" t="s">
        <v>2719</v>
      </c>
      <c r="JZ35" s="337" t="s">
        <v>2818</v>
      </c>
      <c r="KA35" s="443">
        <v>10</v>
      </c>
      <c r="KD35" s="337" t="s">
        <v>2867</v>
      </c>
      <c r="KE35" s="719">
        <f>SUM(KG22:KG28)</f>
        <v>339.56</v>
      </c>
      <c r="KF35" s="385">
        <v>30</v>
      </c>
      <c r="KG35" s="453" t="s">
        <v>2865</v>
      </c>
      <c r="KH35" s="745" t="s">
        <v>2363</v>
      </c>
      <c r="KJ35" s="738" t="s">
        <v>2662</v>
      </c>
      <c r="KK35" s="738"/>
      <c r="KL35" s="740" t="s">
        <v>2952</v>
      </c>
      <c r="KM35" s="78">
        <v>400</v>
      </c>
      <c r="KN35" s="766" t="s">
        <v>2990</v>
      </c>
      <c r="KO35" s="61">
        <v>57.6</v>
      </c>
      <c r="KP35" s="366" t="s">
        <v>2999</v>
      </c>
      <c r="KQ35" s="273">
        <f>SUM(KS19:KS20)</f>
        <v>1223.29</v>
      </c>
      <c r="KR35" s="337" t="s">
        <v>3098</v>
      </c>
      <c r="KS35" s="443">
        <v>48.11</v>
      </c>
      <c r="KT35" s="794" t="s">
        <v>2953</v>
      </c>
      <c r="KU35" s="61"/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895" t="s">
        <v>1536</v>
      </c>
      <c r="DT36" s="896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1871</v>
      </c>
      <c r="FW36">
        <v>9.9</v>
      </c>
      <c r="FX36" t="s">
        <v>1674</v>
      </c>
      <c r="GB36" s="340" t="s">
        <v>1828</v>
      </c>
      <c r="GC36" s="341"/>
      <c r="GH36" s="340" t="s">
        <v>1986</v>
      </c>
      <c r="GI36" s="341"/>
      <c r="GJ36" s="253" t="s">
        <v>1975</v>
      </c>
      <c r="GK36" s="6">
        <v>63.6</v>
      </c>
      <c r="GN36" s="337" t="s">
        <v>1992</v>
      </c>
      <c r="GO36">
        <v>63.06</v>
      </c>
      <c r="GP36" t="s">
        <v>2235</v>
      </c>
      <c r="GT36" s="370">
        <v>71.8</v>
      </c>
      <c r="GU36" s="340" t="s">
        <v>2057</v>
      </c>
      <c r="GV36" t="s">
        <v>1149</v>
      </c>
      <c r="GZ36" s="337" t="s">
        <v>2081</v>
      </c>
      <c r="HA36">
        <v>40.479999999999997</v>
      </c>
      <c r="HB36" s="253" t="s">
        <v>2068</v>
      </c>
      <c r="HC36" s="283">
        <v>71</v>
      </c>
      <c r="HF36" s="371">
        <v>50</v>
      </c>
      <c r="HG36" s="340" t="s">
        <v>1828</v>
      </c>
      <c r="HH36" t="s">
        <v>1674</v>
      </c>
      <c r="HL36" s="376" t="s">
        <v>2154</v>
      </c>
      <c r="HM36" s="386">
        <v>20760</v>
      </c>
      <c r="HP36" s="340" t="s">
        <v>2189</v>
      </c>
      <c r="HQ36" s="353">
        <v>100</v>
      </c>
      <c r="HR36" s="385">
        <v>20</v>
      </c>
      <c r="HS36" s="340" t="s">
        <v>2178</v>
      </c>
      <c r="HT36" s="377"/>
      <c r="HU36" s="278"/>
      <c r="HX36" s="385">
        <v>140</v>
      </c>
      <c r="HY36" s="340" t="s">
        <v>2249</v>
      </c>
      <c r="HZ36" s="1" t="s">
        <v>1639</v>
      </c>
      <c r="IA36" s="272">
        <v>4000</v>
      </c>
      <c r="IC36" s="407"/>
      <c r="ID36" t="s">
        <v>2163</v>
      </c>
      <c r="IE36" s="6">
        <v>52</v>
      </c>
      <c r="IH36" s="378"/>
      <c r="II36" s="423"/>
      <c r="IJ36" s="337" t="s">
        <v>2378</v>
      </c>
      <c r="IK36">
        <v>47.08</v>
      </c>
      <c r="IL36" t="s">
        <v>1034</v>
      </c>
      <c r="IN36" s="346" t="s">
        <v>2131</v>
      </c>
      <c r="IO36" s="2">
        <f>SUM(IQ10:IQ11)</f>
        <v>1105.4099999999999</v>
      </c>
      <c r="IP36" s="365" t="s">
        <v>1411</v>
      </c>
      <c r="IQ36" s="64">
        <f>IM23+IO40-IS19</f>
        <v>680</v>
      </c>
      <c r="IR36" t="s">
        <v>1034</v>
      </c>
      <c r="IV36" s="417" t="s">
        <v>2499</v>
      </c>
      <c r="IW36" s="443">
        <v>6.37</v>
      </c>
      <c r="JB36" s="9" t="s">
        <v>2162</v>
      </c>
      <c r="JC36" s="444">
        <f>204+76+114+103</f>
        <v>497</v>
      </c>
      <c r="JH36" s="385">
        <v>8</v>
      </c>
      <c r="JI36" s="453" t="s">
        <v>2605</v>
      </c>
      <c r="JN36" s="385">
        <v>10</v>
      </c>
      <c r="JO36" s="453" t="s">
        <v>2666</v>
      </c>
      <c r="JP36" s="577" t="s">
        <v>93</v>
      </c>
      <c r="JS36" s="407"/>
      <c r="JT36" s="614" t="s">
        <v>2742</v>
      </c>
      <c r="JU36" s="443">
        <v>139</v>
      </c>
      <c r="JZ36" s="337" t="s">
        <v>2793</v>
      </c>
      <c r="KA36" s="61">
        <f>45.73</f>
        <v>45.73</v>
      </c>
      <c r="KD36" s="341" t="s">
        <v>2880</v>
      </c>
      <c r="KE36" s="720">
        <v>100</v>
      </c>
      <c r="KF36" s="385">
        <v>6</v>
      </c>
      <c r="KG36" s="453" t="s">
        <v>2863</v>
      </c>
      <c r="KH36" s="745" t="s">
        <v>2899</v>
      </c>
      <c r="KI36" s="2">
        <v>194</v>
      </c>
      <c r="KJ36" s="770" t="s">
        <v>1929</v>
      </c>
      <c r="KK36" s="273">
        <f>SUM(KM6:KM6)</f>
        <v>1900.1</v>
      </c>
      <c r="KL36" s="9" t="s">
        <v>2162</v>
      </c>
      <c r="KM36" s="444">
        <f>166+85+79+40</f>
        <v>370</v>
      </c>
      <c r="KN36" s="759" t="s">
        <v>2953</v>
      </c>
      <c r="KO36" s="61"/>
      <c r="KP36" s="771" t="s">
        <v>2987</v>
      </c>
      <c r="KQ36" s="2">
        <f>KS8</f>
        <v>0</v>
      </c>
      <c r="KR36" s="337" t="s">
        <v>3099</v>
      </c>
      <c r="KS36" s="443">
        <v>60.23</v>
      </c>
      <c r="KT36" s="794" t="s">
        <v>2363</v>
      </c>
      <c r="KU36" s="61"/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65" t="s">
        <v>1747</v>
      </c>
      <c r="FQ37" s="365"/>
      <c r="FR37" t="s">
        <v>1674</v>
      </c>
      <c r="FV37" s="360" t="s">
        <v>1873</v>
      </c>
      <c r="FW37" s="6">
        <v>127.1</v>
      </c>
      <c r="FX37" t="s">
        <v>93</v>
      </c>
      <c r="GB37" s="340" t="s">
        <v>1921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2233</v>
      </c>
      <c r="GQ37" s="278"/>
      <c r="GT37" s="371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76" t="s">
        <v>2105</v>
      </c>
      <c r="HG37" s="342">
        <v>3000</v>
      </c>
      <c r="HH37" t="s">
        <v>93</v>
      </c>
      <c r="HL37" s="376"/>
      <c r="HM37" s="344"/>
      <c r="HR37" s="385">
        <v>20</v>
      </c>
      <c r="HS37" s="340" t="s">
        <v>2179</v>
      </c>
      <c r="HT37" s="377"/>
      <c r="HU37" s="278"/>
      <c r="HX37" s="385">
        <v>40</v>
      </c>
      <c r="HY37" s="340" t="s">
        <v>1828</v>
      </c>
      <c r="HZ37" s="253" t="s">
        <v>2207</v>
      </c>
      <c r="IA37" s="278"/>
      <c r="IC37" s="407"/>
      <c r="ID37" s="9" t="s">
        <v>2162</v>
      </c>
      <c r="IE37" s="9">
        <v>453</v>
      </c>
      <c r="IH37" s="378"/>
      <c r="II37" s="423"/>
      <c r="IJ37" t="s">
        <v>2163</v>
      </c>
      <c r="IK37" s="6">
        <f>35+25+17.47+26.01</f>
        <v>103.48</v>
      </c>
      <c r="IN37" s="345" t="s">
        <v>2132</v>
      </c>
      <c r="IO37" s="2">
        <f>SUM(IQ13:IQ20)</f>
        <v>1316.3133333333333</v>
      </c>
      <c r="IP37" s="385">
        <v>399</v>
      </c>
      <c r="IQ37" s="453" t="s">
        <v>2416</v>
      </c>
      <c r="IV37" s="417" t="s">
        <v>2507</v>
      </c>
      <c r="IW37" s="443">
        <v>104.35</v>
      </c>
      <c r="JB37" s="388">
        <v>23.85</v>
      </c>
      <c r="JC37" s="444"/>
      <c r="JF37" s="553" t="s">
        <v>2627</v>
      </c>
      <c r="JG37" s="353">
        <v>200</v>
      </c>
      <c r="JH37" s="385">
        <v>8</v>
      </c>
      <c r="JI37" s="453" t="s">
        <v>2608</v>
      </c>
      <c r="JN37" s="385">
        <v>192.7</v>
      </c>
      <c r="JO37" s="453" t="s">
        <v>2692</v>
      </c>
      <c r="JP37" s="577" t="s">
        <v>1034</v>
      </c>
      <c r="JS37" s="407"/>
      <c r="JT37" s="666" t="s">
        <v>2753</v>
      </c>
      <c r="JU37" s="667">
        <v>5.35</v>
      </c>
      <c r="JZ37" s="337" t="s">
        <v>2799</v>
      </c>
      <c r="KA37" s="443">
        <v>33.03</v>
      </c>
      <c r="KF37" s="385">
        <v>25.9</v>
      </c>
      <c r="KG37" s="453" t="s">
        <v>2891</v>
      </c>
      <c r="KJ37" s="366" t="s">
        <v>2999</v>
      </c>
      <c r="KK37" s="273">
        <f>SUM(KM14:KM17)</f>
        <v>53578.656000000003</v>
      </c>
      <c r="KL37" s="388">
        <v>40.25</v>
      </c>
      <c r="KM37" s="444"/>
      <c r="KN37" s="745" t="s">
        <v>2363</v>
      </c>
      <c r="KO37" s="61"/>
      <c r="KP37" s="347" t="s">
        <v>2994</v>
      </c>
      <c r="KQ37" s="2">
        <f>SUM(KS9:KS13)</f>
        <v>1486.8799999999999</v>
      </c>
      <c r="KR37" s="337" t="s">
        <v>2974</v>
      </c>
      <c r="KS37" s="443">
        <v>40.4</v>
      </c>
      <c r="KT37" s="820" t="s">
        <v>3102</v>
      </c>
      <c r="KU37" s="2">
        <v>57103</v>
      </c>
      <c r="KW37" s="818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1887</v>
      </c>
      <c r="FW38" s="6">
        <v>8.5299999999999994</v>
      </c>
      <c r="FX38" t="s">
        <v>1149</v>
      </c>
      <c r="GB38" s="340" t="s">
        <v>1924</v>
      </c>
      <c r="GC38" s="341"/>
      <c r="GH38" s="360" t="s">
        <v>1979</v>
      </c>
      <c r="GI38" s="6">
        <v>100</v>
      </c>
      <c r="GJ38" s="253"/>
      <c r="GK38" s="278"/>
      <c r="GN38" s="337" t="s">
        <v>1993</v>
      </c>
      <c r="GO38">
        <v>12.84</v>
      </c>
      <c r="GP38" s="253" t="s">
        <v>2148</v>
      </c>
      <c r="GQ38">
        <f>GU16</f>
        <v>84250</v>
      </c>
      <c r="GT38" s="371">
        <v>5</v>
      </c>
      <c r="GU38" s="340" t="s">
        <v>2053</v>
      </c>
      <c r="GZ38" s="337" t="s">
        <v>2079</v>
      </c>
      <c r="HA38">
        <f>36.3+3.2+61.6</f>
        <v>101.1</v>
      </c>
      <c r="HB38" t="s">
        <v>506</v>
      </c>
      <c r="HF38" s="376" t="s">
        <v>2097</v>
      </c>
      <c r="HG38" s="342">
        <v>17367.45</v>
      </c>
      <c r="HH38" t="s">
        <v>1149</v>
      </c>
      <c r="HR38" s="376" t="s">
        <v>2186</v>
      </c>
      <c r="HS38" s="386">
        <v>9.9</v>
      </c>
      <c r="HT38" t="s">
        <v>506</v>
      </c>
      <c r="HX38" s="385">
        <v>40</v>
      </c>
      <c r="HY38" s="340" t="s">
        <v>2248</v>
      </c>
      <c r="HZ38" s="377" t="s">
        <v>2208</v>
      </c>
      <c r="IA38" s="400">
        <v>21.35</v>
      </c>
      <c r="IC38" s="408"/>
      <c r="ID38" s="388">
        <v>28.33</v>
      </c>
      <c r="IE38" s="9"/>
      <c r="IH38" s="379"/>
      <c r="IJ38" s="9" t="s">
        <v>2162</v>
      </c>
      <c r="IK38" s="9">
        <v>810</v>
      </c>
      <c r="IN38" s="337" t="s">
        <v>2130</v>
      </c>
      <c r="IO38" s="2">
        <f>SUM(IQ21:IQ32)</f>
        <v>464.31</v>
      </c>
      <c r="IP38" s="385">
        <v>35</v>
      </c>
      <c r="IQ38" s="453" t="s">
        <v>2408</v>
      </c>
      <c r="IV38" s="417" t="s">
        <v>2507</v>
      </c>
      <c r="IW38" s="443">
        <v>51.81</v>
      </c>
      <c r="IZ38" s="524" t="s">
        <v>2558</v>
      </c>
      <c r="JA38" s="353">
        <v>200</v>
      </c>
      <c r="JB38" s="365" t="s">
        <v>1411</v>
      </c>
      <c r="JC38" s="384">
        <f>IY20+JA38-JE21</f>
        <v>260</v>
      </c>
      <c r="JH38" s="385">
        <v>70</v>
      </c>
      <c r="JI38" s="453" t="s">
        <v>1828</v>
      </c>
      <c r="JN38" s="385">
        <v>18</v>
      </c>
      <c r="JO38" s="453" t="s">
        <v>2659</v>
      </c>
      <c r="JT38" s="636" t="s">
        <v>2712</v>
      </c>
      <c r="JU38" s="634">
        <v>2.2000000000000002</v>
      </c>
      <c r="JZ38" s="337" t="s">
        <v>2768</v>
      </c>
      <c r="KA38" s="61">
        <f>48.9</f>
        <v>48.9</v>
      </c>
      <c r="KF38" s="733" t="s">
        <v>2882</v>
      </c>
      <c r="KG38" s="442">
        <v>70</v>
      </c>
      <c r="KJ38" s="771" t="s">
        <v>2987</v>
      </c>
      <c r="KK38" s="2">
        <v>0</v>
      </c>
      <c r="KL38" s="365" t="s">
        <v>1411</v>
      </c>
      <c r="KM38" s="384">
        <f>KI27+KK45-KO28</f>
        <v>270</v>
      </c>
      <c r="KN38" s="777"/>
      <c r="KO38" s="61"/>
      <c r="KP38" s="263" t="s">
        <v>2995</v>
      </c>
      <c r="KQ38" s="529">
        <f>SUM(KS14:KS18)</f>
        <v>492.78000000000003</v>
      </c>
      <c r="KR38" s="337" t="s">
        <v>3100</v>
      </c>
      <c r="KS38" s="443" t="s">
        <v>3101</v>
      </c>
      <c r="KT38" s="836"/>
      <c r="KU38" s="268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890" t="s">
        <v>1438</v>
      </c>
      <c r="DJ39" s="890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1902</v>
      </c>
      <c r="FW39" s="6">
        <v>184</v>
      </c>
      <c r="FX39" t="s">
        <v>1034</v>
      </c>
      <c r="GB39" s="340" t="s">
        <v>1934</v>
      </c>
      <c r="GC39" s="341"/>
      <c r="GH39" s="360" t="s">
        <v>1960</v>
      </c>
      <c r="GI39">
        <v>70</v>
      </c>
      <c r="GJ39" t="s">
        <v>506</v>
      </c>
      <c r="GN39" s="337" t="s">
        <v>2010</v>
      </c>
      <c r="GO39">
        <v>26</v>
      </c>
      <c r="GP39" s="253" t="s">
        <v>2149</v>
      </c>
      <c r="GQ39" s="278">
        <v>45000</v>
      </c>
      <c r="GT39" s="371">
        <v>20</v>
      </c>
      <c r="GU39" s="340" t="s">
        <v>2056</v>
      </c>
      <c r="GZ39" s="337" t="s">
        <v>2146</v>
      </c>
      <c r="HA39">
        <v>84.3</v>
      </c>
      <c r="HB39" t="s">
        <v>1674</v>
      </c>
      <c r="HF39" s="376" t="s">
        <v>2111</v>
      </c>
      <c r="HG39" s="344">
        <v>88</v>
      </c>
      <c r="HH39" t="s">
        <v>1034</v>
      </c>
      <c r="HL39" s="376"/>
      <c r="HM39" s="344"/>
      <c r="HR39" s="376" t="s">
        <v>2198</v>
      </c>
      <c r="HS39" s="344">
        <v>10.57</v>
      </c>
      <c r="HT39" t="s">
        <v>93</v>
      </c>
      <c r="HX39" s="385">
        <v>40</v>
      </c>
      <c r="HY39" s="340" t="s">
        <v>2222</v>
      </c>
      <c r="HZ39" s="253" t="s">
        <v>2224</v>
      </c>
      <c r="IA39" s="278">
        <v>125.91</v>
      </c>
      <c r="ID39" s="365" t="s">
        <v>1411</v>
      </c>
      <c r="IE39" s="384">
        <f>IA28+IC42-IG23</f>
        <v>175</v>
      </c>
      <c r="IH39" s="379"/>
      <c r="IJ39" s="365" t="s">
        <v>1411</v>
      </c>
      <c r="IK39" s="384">
        <f>IG23+II50-IM23</f>
        <v>230</v>
      </c>
      <c r="IN39" s="337" t="s">
        <v>2643</v>
      </c>
      <c r="IO39" s="2">
        <f>SUM(IQ25:IQ32)</f>
        <v>303.81</v>
      </c>
      <c r="IP39" s="385">
        <v>7.9</v>
      </c>
      <c r="IQ39" s="453" t="s">
        <v>2409</v>
      </c>
      <c r="IV39" s="417" t="s">
        <v>2507</v>
      </c>
      <c r="IW39" s="443">
        <v>28.77</v>
      </c>
      <c r="IZ39" s="342"/>
      <c r="JA39" s="610"/>
      <c r="JB39" s="385">
        <v>130</v>
      </c>
      <c r="JC39" s="453" t="s">
        <v>2530</v>
      </c>
      <c r="JH39" s="385">
        <v>10</v>
      </c>
      <c r="JI39" s="453" t="s">
        <v>2624</v>
      </c>
      <c r="JM39" s="407"/>
      <c r="JN39" s="385">
        <v>10</v>
      </c>
      <c r="JO39" s="63" t="s">
        <v>2660</v>
      </c>
      <c r="JS39" s="639" t="s">
        <v>2754</v>
      </c>
      <c r="JT39" s="636" t="s">
        <v>2731</v>
      </c>
      <c r="JU39" s="634">
        <v>89.39</v>
      </c>
      <c r="JX39" s="647" t="s">
        <v>2662</v>
      </c>
      <c r="JY39" s="647"/>
      <c r="JZ39" s="337" t="s">
        <v>2777</v>
      </c>
      <c r="KA39" s="443">
        <v>31</v>
      </c>
      <c r="KF39" s="65" t="s">
        <v>2921</v>
      </c>
      <c r="KG39" s="700">
        <v>324</v>
      </c>
      <c r="KH39" s="740" t="s">
        <v>506</v>
      </c>
      <c r="KJ39" s="347" t="s">
        <v>2994</v>
      </c>
      <c r="KK39" s="2">
        <f>SUM(KM7:KM9)</f>
        <v>1201.5700000000002</v>
      </c>
      <c r="KL39" s="385">
        <v>40</v>
      </c>
      <c r="KM39" s="669" t="s">
        <v>2179</v>
      </c>
      <c r="KN39" s="765"/>
      <c r="KO39" s="61"/>
      <c r="KP39" s="773" t="s">
        <v>2845</v>
      </c>
      <c r="KQ39" s="2">
        <f>SUM(KS21:KS30)</f>
        <v>899.49</v>
      </c>
      <c r="KR39" s="789" t="s">
        <v>2952</v>
      </c>
      <c r="KS39" s="78">
        <v>40</v>
      </c>
      <c r="KT39" s="833"/>
      <c r="KU39" s="2"/>
    </row>
    <row r="40" spans="1:309">
      <c r="A40" s="602"/>
      <c r="C40" s="602"/>
      <c r="D40" s="602"/>
      <c r="E40" s="470"/>
      <c r="F40" s="470"/>
      <c r="G40" s="602"/>
      <c r="I40" s="602"/>
      <c r="J40" s="602"/>
      <c r="K40" s="470"/>
      <c r="L40" s="470"/>
      <c r="M40" s="602"/>
      <c r="O40" s="602"/>
      <c r="P40" s="602"/>
      <c r="Q40" s="198"/>
      <c r="R40" s="470"/>
      <c r="S40" s="602"/>
      <c r="U40" s="602"/>
      <c r="V40" s="602"/>
      <c r="W40" s="470"/>
      <c r="X40" s="470"/>
      <c r="Y40" s="602"/>
      <c r="AA40" s="602"/>
      <c r="AB40" s="602"/>
      <c r="AC40" s="470"/>
      <c r="AD40" s="470"/>
      <c r="AE40" s="602"/>
      <c r="AG40" s="602"/>
      <c r="AH40" s="602"/>
      <c r="AI40" s="470"/>
      <c r="AJ40" s="470"/>
      <c r="AK40" s="602"/>
      <c r="AM40" s="602"/>
      <c r="AN40" s="602"/>
      <c r="AO40" s="251"/>
      <c r="AP40" s="470"/>
      <c r="AQ40" s="602"/>
      <c r="AS40" s="602"/>
      <c r="AT40" s="602"/>
      <c r="AU40" s="470"/>
      <c r="AV40" s="470"/>
      <c r="AW40" s="602"/>
      <c r="AY40" s="470"/>
      <c r="AZ40" s="470"/>
      <c r="BA40" s="602"/>
      <c r="BC40" s="602"/>
      <c r="BD40" s="602"/>
      <c r="BE40" s="470"/>
      <c r="BF40" s="470"/>
      <c r="BG40" s="602"/>
      <c r="BM40" s="602"/>
      <c r="BS40" s="602"/>
      <c r="BY40" s="602"/>
      <c r="CE40" s="602"/>
      <c r="CK40" s="602"/>
      <c r="CQ40" s="602"/>
      <c r="CW40" s="602"/>
      <c r="DC40" s="288"/>
      <c r="DG40" s="295"/>
      <c r="DH40" s="279"/>
      <c r="DI40" s="608"/>
      <c r="DJ40" s="608"/>
      <c r="DM40" s="217"/>
      <c r="DN40" s="304"/>
      <c r="DO40" s="607"/>
      <c r="DS40" s="217"/>
      <c r="DT40" s="304"/>
      <c r="DU40" s="607"/>
      <c r="DW40" s="602"/>
      <c r="DX40" s="602"/>
      <c r="DY40" s="602"/>
      <c r="DZ40" s="602"/>
      <c r="EA40" s="602"/>
      <c r="EB40" s="602"/>
      <c r="EC40" s="602"/>
      <c r="ED40" s="602"/>
      <c r="EE40" s="602"/>
      <c r="EF40" s="602"/>
      <c r="EG40" s="602"/>
      <c r="EH40" s="602"/>
      <c r="EI40" s="602"/>
      <c r="EJ40" s="602"/>
      <c r="EK40" s="602"/>
      <c r="EL40" s="606"/>
      <c r="EM40" s="606"/>
      <c r="EN40" s="288"/>
      <c r="EO40" s="602"/>
      <c r="EP40" s="602"/>
      <c r="EQ40" s="602"/>
      <c r="ER40" s="605"/>
      <c r="ES40" s="205"/>
      <c r="ET40" s="602"/>
      <c r="EU40" s="602"/>
      <c r="EV40" s="602"/>
      <c r="EW40" s="602"/>
      <c r="EX40" s="605"/>
      <c r="EY40" s="605"/>
      <c r="EZ40" s="602"/>
      <c r="FA40" s="602"/>
      <c r="FB40" s="602"/>
      <c r="FC40" s="602"/>
      <c r="FD40" s="605"/>
      <c r="FE40" s="602"/>
      <c r="FF40" s="605"/>
      <c r="FG40" s="605"/>
      <c r="FH40" s="602"/>
      <c r="FI40" s="602"/>
      <c r="FJ40" s="603"/>
      <c r="FK40" s="606"/>
      <c r="FL40" s="607"/>
      <c r="FM40" s="278"/>
      <c r="FN40" s="602"/>
      <c r="FO40" s="602"/>
      <c r="FP40" s="341"/>
      <c r="FQ40" s="341"/>
      <c r="FR40" s="602"/>
      <c r="FS40" s="602"/>
      <c r="FT40" s="602"/>
      <c r="FU40" s="602"/>
      <c r="FV40" s="603"/>
      <c r="FW40" s="605"/>
      <c r="GB40" s="340" t="s">
        <v>1935</v>
      </c>
      <c r="GC40" s="341"/>
      <c r="GH40" s="360" t="s">
        <v>1980</v>
      </c>
      <c r="GI40" s="6">
        <v>190</v>
      </c>
      <c r="GJ40" t="s">
        <v>1674</v>
      </c>
      <c r="GN40" s="337" t="s">
        <v>2003</v>
      </c>
      <c r="GO40">
        <v>12</v>
      </c>
      <c r="GP40" s="253" t="s">
        <v>1835</v>
      </c>
      <c r="GQ40" s="278">
        <v>1000</v>
      </c>
      <c r="GT40" s="371">
        <v>6</v>
      </c>
      <c r="GU40" s="340" t="s">
        <v>2054</v>
      </c>
      <c r="GV40" t="s">
        <v>478</v>
      </c>
      <c r="GX40" s="602"/>
      <c r="GY40" s="602"/>
      <c r="GZ40" s="337"/>
      <c r="HA40" s="602"/>
      <c r="HB40" t="s">
        <v>93</v>
      </c>
      <c r="HF40" s="376" t="s">
        <v>2098</v>
      </c>
      <c r="HG40" s="344">
        <v>9.2200000000000006</v>
      </c>
      <c r="HP40" s="602"/>
      <c r="HQ40" s="602"/>
      <c r="HR40" s="376"/>
      <c r="HS40" s="344"/>
      <c r="HX40" s="385">
        <v>20</v>
      </c>
      <c r="HY40" s="340" t="s">
        <v>2245</v>
      </c>
      <c r="ID40" s="385">
        <v>70</v>
      </c>
      <c r="IE40" s="340" t="s">
        <v>2179</v>
      </c>
      <c r="IH40" s="837" t="s">
        <v>2136</v>
      </c>
      <c r="II40" s="837"/>
      <c r="IJ40" s="385">
        <v>20</v>
      </c>
      <c r="IK40" s="340" t="s">
        <v>2351</v>
      </c>
      <c r="IN40" s="340" t="s">
        <v>2451</v>
      </c>
      <c r="IO40" s="353">
        <f>100+400+100+100</f>
        <v>700</v>
      </c>
      <c r="IP40" s="385">
        <v>6</v>
      </c>
      <c r="IQ40" s="453" t="s">
        <v>2179</v>
      </c>
      <c r="IV40" s="377"/>
      <c r="IW40" s="443"/>
      <c r="JA40" s="407"/>
      <c r="JB40" s="385">
        <v>30</v>
      </c>
      <c r="JC40" s="453" t="s">
        <v>2561</v>
      </c>
      <c r="JH40" s="385">
        <v>12</v>
      </c>
      <c r="JI40" s="453" t="s">
        <v>2628</v>
      </c>
      <c r="JL40" s="602"/>
      <c r="JM40" s="407"/>
      <c r="JN40" s="385">
        <f>86*3+96</f>
        <v>354</v>
      </c>
      <c r="JO40" s="63" t="s">
        <v>2661</v>
      </c>
      <c r="JT40" s="633" t="s">
        <v>2713</v>
      </c>
      <c r="JU40" s="634">
        <f>69.93+136.83</f>
        <v>206.76000000000002</v>
      </c>
      <c r="JX40" s="668" t="s">
        <v>1929</v>
      </c>
      <c r="JY40" s="273">
        <f>SUM(KA6:KA9)</f>
        <v>7797.6799999999994</v>
      </c>
      <c r="JZ40" s="337" t="s">
        <v>2803</v>
      </c>
      <c r="KA40" s="443">
        <v>13.15</v>
      </c>
      <c r="KF40" s="750" t="s">
        <v>2866</v>
      </c>
      <c r="KG40" s="700">
        <v>39.700000000000003</v>
      </c>
      <c r="KH40" s="740" t="s">
        <v>93</v>
      </c>
      <c r="KJ40" s="263" t="s">
        <v>2995</v>
      </c>
      <c r="KK40" s="529">
        <f>SUM(KM10:KM13)</f>
        <v>451.43999999999994</v>
      </c>
      <c r="KL40" s="385">
        <v>6</v>
      </c>
      <c r="KM40" s="453" t="s">
        <v>2960</v>
      </c>
      <c r="KN40" s="740" t="s">
        <v>506</v>
      </c>
      <c r="KP40" s="337" t="s">
        <v>2130</v>
      </c>
      <c r="KQ40" s="2">
        <f>SUM(KS31:KS38)</f>
        <v>282.14</v>
      </c>
      <c r="KR40" s="9" t="s">
        <v>2162</v>
      </c>
      <c r="KS40" s="444">
        <v>550</v>
      </c>
      <c r="KT40" s="812"/>
      <c r="KU40" s="61"/>
    </row>
    <row r="41" spans="1:309" s="602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1908</v>
      </c>
      <c r="FW41" s="6">
        <v>80</v>
      </c>
      <c r="GB41" s="342"/>
      <c r="GC41" s="344"/>
      <c r="GH41" s="603"/>
      <c r="GI41" s="605"/>
      <c r="GN41" s="337"/>
      <c r="GP41" s="607"/>
      <c r="GQ41" s="278"/>
      <c r="GT41" s="371"/>
      <c r="GU41" s="604"/>
      <c r="GX41"/>
      <c r="GY41"/>
      <c r="GZ41" s="365" t="s">
        <v>1747</v>
      </c>
      <c r="HA41" s="63"/>
      <c r="HF41" s="376"/>
      <c r="HG41" s="344"/>
      <c r="HP41"/>
      <c r="HQ41"/>
      <c r="HR41" s="376" t="s">
        <v>2218</v>
      </c>
      <c r="HS41" s="344">
        <v>65.7</v>
      </c>
      <c r="HX41" s="385"/>
      <c r="HY41" s="604"/>
      <c r="ID41" s="385"/>
      <c r="IE41" s="604"/>
      <c r="IH41" s="601"/>
      <c r="II41" s="601"/>
      <c r="IJ41" s="385"/>
      <c r="IK41" s="604"/>
      <c r="IN41" s="342"/>
      <c r="IO41" s="610"/>
      <c r="IP41" s="385"/>
      <c r="IQ41" s="453"/>
      <c r="IV41" s="377"/>
      <c r="IW41" s="443"/>
      <c r="IX41" s="460"/>
      <c r="IY41" s="460"/>
      <c r="IZ41" s="502"/>
      <c r="JA41" s="407"/>
      <c r="JB41" s="385"/>
      <c r="JC41" s="453"/>
      <c r="JD41" s="502"/>
      <c r="JE41" s="502"/>
      <c r="JH41" s="611"/>
      <c r="JI41" s="378"/>
      <c r="JJ41" s="545"/>
      <c r="JK41" s="545"/>
      <c r="JL41" s="577"/>
      <c r="JM41" s="407"/>
      <c r="JN41" s="377" t="s">
        <v>2653</v>
      </c>
      <c r="JO41" s="443">
        <v>7.5</v>
      </c>
      <c r="JR41" s="614"/>
      <c r="JS41" s="614"/>
      <c r="JT41" s="635" t="s">
        <v>2724</v>
      </c>
      <c r="JU41" s="634">
        <v>18.8</v>
      </c>
      <c r="JV41" s="614"/>
      <c r="JW41" s="614"/>
      <c r="JX41" s="366" t="s">
        <v>2993</v>
      </c>
      <c r="JY41" s="273">
        <f>SUM(KA20:KA23)</f>
        <v>6114.74</v>
      </c>
      <c r="JZ41" s="337" t="s">
        <v>2800</v>
      </c>
      <c r="KA41" s="443">
        <v>38.200000000000003</v>
      </c>
      <c r="KB41" s="695"/>
      <c r="KC41" s="710"/>
      <c r="KD41" s="700"/>
      <c r="KE41" s="746"/>
      <c r="KF41" s="212" t="s">
        <v>2507</v>
      </c>
      <c r="KG41" s="383">
        <v>110.1</v>
      </c>
      <c r="KH41" s="740"/>
      <c r="KI41" s="740"/>
      <c r="KJ41" s="773" t="s">
        <v>2845</v>
      </c>
      <c r="KK41" s="2">
        <f>SUM(KM18:KM25)</f>
        <v>714.36400000000003</v>
      </c>
      <c r="KL41" s="385">
        <v>10</v>
      </c>
      <c r="KM41" s="453" t="s">
        <v>2959</v>
      </c>
      <c r="KN41" s="879" t="s">
        <v>2970</v>
      </c>
      <c r="KO41" s="879"/>
      <c r="KP41" s="337" t="s">
        <v>2867</v>
      </c>
      <c r="KQ41" s="719">
        <f>SUM(KS32:KS38)</f>
        <v>222.14000000000001</v>
      </c>
      <c r="KR41" s="388">
        <v>25.54</v>
      </c>
      <c r="KS41" s="444"/>
      <c r="KT41" s="807"/>
      <c r="KU41" s="61"/>
      <c r="KV41" s="789"/>
    </row>
    <row r="42" spans="1:309">
      <c r="A42" s="660"/>
      <c r="C42" s="660"/>
      <c r="D42" s="660"/>
      <c r="E42" s="470"/>
      <c r="F42" s="470"/>
      <c r="G42" s="660"/>
      <c r="I42" s="660"/>
      <c r="J42" s="660"/>
      <c r="K42" s="197"/>
      <c r="L42" s="470"/>
      <c r="M42" s="660"/>
      <c r="O42" s="660"/>
      <c r="P42" s="660"/>
      <c r="Q42" s="470"/>
      <c r="R42" s="470"/>
      <c r="S42" s="660"/>
      <c r="U42" s="660"/>
      <c r="V42" s="660"/>
      <c r="W42" s="470"/>
      <c r="X42" s="470"/>
      <c r="Y42" s="660"/>
      <c r="AA42" s="660"/>
      <c r="AB42" s="660"/>
      <c r="AC42" s="470"/>
      <c r="AD42" s="470"/>
      <c r="AE42" s="660"/>
      <c r="AG42" s="660"/>
      <c r="AH42" s="660"/>
      <c r="AI42" s="470"/>
      <c r="AJ42" s="470"/>
      <c r="AK42" s="660"/>
      <c r="AM42" s="660"/>
      <c r="AN42" s="660"/>
      <c r="AO42" s="251"/>
      <c r="AP42" s="470"/>
      <c r="AQ42" s="660"/>
      <c r="AS42" s="660"/>
      <c r="AT42" s="660"/>
      <c r="AU42" s="470"/>
      <c r="AV42" s="470"/>
      <c r="AW42" s="660"/>
      <c r="AY42" s="470"/>
      <c r="AZ42" s="470"/>
      <c r="BA42" s="660"/>
      <c r="BC42" s="660"/>
      <c r="BD42" s="660"/>
      <c r="BE42" s="470"/>
      <c r="BF42" s="470"/>
      <c r="BG42" s="660"/>
      <c r="BM42" s="660"/>
      <c r="BS42" s="660"/>
      <c r="BY42" s="660"/>
      <c r="CE42" s="660"/>
      <c r="CK42" s="660"/>
      <c r="CQ42" s="660"/>
      <c r="CW42" s="660"/>
      <c r="DC42" s="660"/>
      <c r="DG42" s="295"/>
      <c r="DH42" s="279"/>
      <c r="DI42" s="290"/>
      <c r="DJ42" s="290"/>
      <c r="DM42" s="217"/>
      <c r="DN42" s="304"/>
      <c r="DO42" s="660"/>
      <c r="DS42" s="217"/>
      <c r="DT42" s="304"/>
      <c r="DU42" s="660"/>
      <c r="DW42" s="660"/>
      <c r="DX42" s="660"/>
      <c r="DY42" s="660"/>
      <c r="DZ42" s="660"/>
      <c r="EA42" s="660"/>
      <c r="EB42" s="660"/>
      <c r="EC42" s="660"/>
      <c r="ED42" s="660"/>
      <c r="EE42" s="660"/>
      <c r="EF42" s="660"/>
      <c r="EG42" s="660"/>
      <c r="EH42" s="660"/>
      <c r="EI42" s="660"/>
      <c r="EJ42" s="660"/>
      <c r="EK42" s="660"/>
      <c r="EL42" s="660"/>
      <c r="EM42" s="660"/>
      <c r="EN42" s="660"/>
      <c r="EO42" s="660"/>
      <c r="EP42" s="660"/>
      <c r="EQ42" s="660"/>
      <c r="ER42" s="664"/>
      <c r="ES42" s="320"/>
      <c r="ET42" s="660"/>
      <c r="EU42" s="660"/>
      <c r="EV42" s="660"/>
      <c r="EW42" s="660"/>
      <c r="EX42" s="663"/>
      <c r="EY42" s="663"/>
      <c r="EZ42" s="660"/>
      <c r="FA42" s="660"/>
      <c r="FB42" s="660"/>
      <c r="FC42" s="660"/>
      <c r="FD42" s="663"/>
      <c r="FE42" s="663"/>
      <c r="FF42" s="663"/>
      <c r="FG42" s="663"/>
      <c r="FH42" s="660"/>
      <c r="FI42" s="660"/>
      <c r="FJ42" s="663"/>
      <c r="FK42" s="663"/>
      <c r="FL42" s="665"/>
      <c r="FM42" s="278"/>
      <c r="FN42" s="660"/>
      <c r="FO42" s="660"/>
      <c r="FP42" s="662"/>
      <c r="FQ42" s="341"/>
      <c r="FR42" s="660"/>
      <c r="FS42" s="660"/>
      <c r="FT42" s="660"/>
      <c r="FU42" s="660"/>
      <c r="FV42" s="661"/>
      <c r="FW42" s="663"/>
      <c r="GB42" s="6" t="s">
        <v>1922</v>
      </c>
      <c r="GC42">
        <v>80</v>
      </c>
      <c r="GH42" s="360" t="s">
        <v>1959</v>
      </c>
      <c r="GI42" s="6">
        <v>1100</v>
      </c>
      <c r="GJ42" t="s">
        <v>93</v>
      </c>
      <c r="GN42" s="337" t="s">
        <v>2001</v>
      </c>
      <c r="GO42">
        <f>76+25.2</f>
        <v>101.2</v>
      </c>
      <c r="GP42" s="253" t="s">
        <v>2234</v>
      </c>
      <c r="GQ42" s="278"/>
      <c r="GT42" s="371">
        <v>6</v>
      </c>
      <c r="GU42" s="340" t="s">
        <v>2073</v>
      </c>
      <c r="GV42" s="288"/>
      <c r="GX42" s="660"/>
      <c r="GY42" s="660"/>
      <c r="GZ42" s="365"/>
      <c r="HA42" s="63"/>
      <c r="HB42" t="s">
        <v>1149</v>
      </c>
      <c r="HF42" s="210" t="s">
        <v>2128</v>
      </c>
      <c r="HG42" s="210">
        <v>440</v>
      </c>
      <c r="HP42" s="660"/>
      <c r="HQ42" s="660"/>
      <c r="HR42" s="376"/>
      <c r="HS42" s="344"/>
      <c r="HX42" s="385">
        <v>45</v>
      </c>
      <c r="HY42" s="340" t="s">
        <v>2244</v>
      </c>
      <c r="IB42" s="340" t="s">
        <v>2275</v>
      </c>
      <c r="IC42" s="353">
        <v>205</v>
      </c>
      <c r="ID42" s="385">
        <v>15</v>
      </c>
      <c r="IE42" s="340" t="s">
        <v>2261</v>
      </c>
      <c r="IH42" s="351" t="s">
        <v>1929</v>
      </c>
      <c r="II42" s="273">
        <f>SUM(IK7:IK9)</f>
        <v>1946.12</v>
      </c>
      <c r="IJ42" s="385">
        <v>40</v>
      </c>
      <c r="IK42" s="340" t="s">
        <v>2327</v>
      </c>
      <c r="IP42" s="385">
        <v>30</v>
      </c>
      <c r="IQ42" s="453" t="s">
        <v>2413</v>
      </c>
      <c r="IV42" s="377"/>
      <c r="IW42" s="443"/>
      <c r="JA42" s="408"/>
      <c r="JB42" s="385">
        <v>30</v>
      </c>
      <c r="JC42" s="453" t="s">
        <v>2544</v>
      </c>
      <c r="JG42" s="407"/>
      <c r="JH42" s="417" t="s">
        <v>2607</v>
      </c>
      <c r="JI42" s="443">
        <v>751</v>
      </c>
      <c r="JM42" s="408"/>
      <c r="JN42" s="377" t="s">
        <v>1386</v>
      </c>
      <c r="JO42" s="443">
        <v>15.79</v>
      </c>
      <c r="JP42" s="589"/>
      <c r="JQ42" s="589"/>
      <c r="JR42" s="660"/>
      <c r="JS42" s="660"/>
      <c r="JT42" s="636" t="s">
        <v>2717</v>
      </c>
      <c r="JU42" s="634">
        <v>89.8</v>
      </c>
      <c r="JX42" s="350" t="s">
        <v>1392</v>
      </c>
      <c r="JY42" s="2">
        <f>KA10</f>
        <v>5.99</v>
      </c>
      <c r="JZ42" s="337" t="s">
        <v>2802</v>
      </c>
      <c r="KA42" s="443">
        <v>10.5</v>
      </c>
      <c r="KE42" s="746"/>
      <c r="KF42" s="750" t="s">
        <v>2876</v>
      </c>
      <c r="KG42" s="700">
        <v>81.84</v>
      </c>
      <c r="KJ42" s="337" t="s">
        <v>2130</v>
      </c>
      <c r="KK42" s="2">
        <f>SUM(KM26:KM34)</f>
        <v>587.2700000000001</v>
      </c>
      <c r="KL42" s="385">
        <v>6</v>
      </c>
      <c r="KM42" s="453" t="s">
        <v>2958</v>
      </c>
      <c r="KR42" s="365" t="s">
        <v>1411</v>
      </c>
      <c r="KS42" s="384">
        <f>KO28+KQ43-KU29</f>
        <v>110</v>
      </c>
      <c r="KT42" s="807"/>
      <c r="KU42" s="61"/>
    </row>
    <row r="43" spans="1:309" s="660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1914</v>
      </c>
      <c r="FW43" s="6">
        <v>4.5999999999999996</v>
      </c>
      <c r="GB43" s="663"/>
      <c r="GH43" s="661"/>
      <c r="GI43" s="663"/>
      <c r="GN43" s="337"/>
      <c r="GP43" s="665"/>
      <c r="GQ43" s="278"/>
      <c r="GT43" s="371"/>
      <c r="GU43" s="662"/>
      <c r="GV43" s="288"/>
      <c r="GX43"/>
      <c r="GY43"/>
      <c r="GZ43" s="353">
        <v>50</v>
      </c>
      <c r="HA43" s="365"/>
      <c r="HF43" s="210"/>
      <c r="HG43" s="210"/>
      <c r="HP43"/>
      <c r="HQ43"/>
      <c r="HR43" s="376" t="s">
        <v>2177</v>
      </c>
      <c r="HS43" s="344">
        <v>2.54</v>
      </c>
      <c r="HX43" s="611"/>
      <c r="HY43" s="342"/>
      <c r="IB43" s="342"/>
      <c r="IC43" s="610"/>
      <c r="ID43" s="385"/>
      <c r="IE43" s="662"/>
      <c r="IH43" s="351"/>
      <c r="II43" s="273"/>
      <c r="IJ43" s="385"/>
      <c r="IK43" s="662"/>
      <c r="IP43" s="385"/>
      <c r="IQ43" s="453"/>
      <c r="IV43" s="377"/>
      <c r="IW43" s="443"/>
      <c r="JA43" s="408"/>
      <c r="JB43" s="385"/>
      <c r="JC43" s="453"/>
      <c r="JG43" s="407"/>
      <c r="JH43" s="417"/>
      <c r="JI43" s="443"/>
      <c r="JL43" s="577"/>
      <c r="JM43" s="577"/>
      <c r="JN43" s="377"/>
      <c r="JO43" s="443"/>
      <c r="JP43" s="589"/>
      <c r="JQ43" s="589"/>
      <c r="JR43" s="614"/>
      <c r="JS43" s="614"/>
      <c r="JT43" s="636" t="s">
        <v>1557</v>
      </c>
      <c r="JU43" s="634">
        <v>19.899999999999999</v>
      </c>
      <c r="JX43" s="346" t="s">
        <v>2131</v>
      </c>
      <c r="JY43" s="2">
        <f>SUM(KA11:KA19)</f>
        <v>2906.73</v>
      </c>
      <c r="JZ43" s="337" t="s">
        <v>2838</v>
      </c>
      <c r="KA43" s="61">
        <f>47.8+1.2+2.5+3.2</f>
        <v>54.7</v>
      </c>
      <c r="KB43" s="695"/>
      <c r="KC43" s="710"/>
      <c r="KD43" s="700"/>
      <c r="KE43" s="761" t="s">
        <v>2754</v>
      </c>
      <c r="KF43" s="750" t="s">
        <v>2862</v>
      </c>
      <c r="KG43" s="700">
        <v>37.700000000000003</v>
      </c>
      <c r="KH43" s="740"/>
      <c r="KI43" s="740"/>
      <c r="KJ43" s="337" t="s">
        <v>2867</v>
      </c>
      <c r="KK43" s="719">
        <f>SUM(KM28:KM34)</f>
        <v>362.27</v>
      </c>
      <c r="KL43" s="385">
        <v>100</v>
      </c>
      <c r="KM43" s="453" t="s">
        <v>2956</v>
      </c>
      <c r="KN43" s="740" t="s">
        <v>2968</v>
      </c>
      <c r="KO43" s="740"/>
      <c r="KP43" s="341" t="s">
        <v>3047</v>
      </c>
      <c r="KQ43" s="720">
        <v>100</v>
      </c>
      <c r="KR43" s="385">
        <v>45</v>
      </c>
      <c r="KS43" s="669" t="s">
        <v>2179</v>
      </c>
      <c r="KT43" s="807"/>
      <c r="KU43" s="61"/>
      <c r="KV43" s="789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1926</v>
      </c>
      <c r="GC44" s="6">
        <v>11</v>
      </c>
      <c r="GH44" s="360" t="s">
        <v>1957</v>
      </c>
      <c r="GI44" s="6">
        <v>43</v>
      </c>
      <c r="GJ44" t="s">
        <v>1149</v>
      </c>
      <c r="GN44" s="365" t="s">
        <v>1747</v>
      </c>
      <c r="GO44" s="63"/>
      <c r="GP44" t="s">
        <v>1674</v>
      </c>
      <c r="GT44" s="371">
        <v>30</v>
      </c>
      <c r="GU44" s="340" t="s">
        <v>2055</v>
      </c>
      <c r="GZ44" s="341" t="s">
        <v>2067</v>
      </c>
      <c r="HA44" s="354">
        <f>GW16+GZ43-HC17</f>
        <v>134</v>
      </c>
      <c r="HB44" t="s">
        <v>1034</v>
      </c>
      <c r="HE44" s="207"/>
      <c r="HF44" s="381">
        <v>29.54</v>
      </c>
      <c r="HX44" s="376" t="s">
        <v>2220</v>
      </c>
      <c r="HY44" s="344">
        <v>98.89</v>
      </c>
      <c r="HZ44" t="s">
        <v>506</v>
      </c>
      <c r="ID44" s="385">
        <v>10</v>
      </c>
      <c r="IE44" s="340" t="s">
        <v>2295</v>
      </c>
      <c r="IH44" s="245" t="s">
        <v>1930</v>
      </c>
      <c r="II44" s="273">
        <f>SUM(IK14:IK15)</f>
        <v>1933.7466666666667</v>
      </c>
      <c r="IJ44" s="385">
        <v>10</v>
      </c>
      <c r="IK44" s="340" t="s">
        <v>2350</v>
      </c>
      <c r="IP44" s="385">
        <v>20</v>
      </c>
      <c r="IQ44" s="453" t="s">
        <v>2446</v>
      </c>
      <c r="IV44" s="377"/>
      <c r="IW44" s="443"/>
      <c r="IX44" s="602"/>
      <c r="IY44" s="602"/>
      <c r="JB44" s="385">
        <v>13</v>
      </c>
      <c r="JC44" s="453" t="s">
        <v>2573</v>
      </c>
      <c r="JD44" s="602"/>
      <c r="JE44" s="602"/>
      <c r="JG44" s="407"/>
      <c r="JH44" s="417" t="s">
        <v>1618</v>
      </c>
      <c r="JI44" s="443">
        <v>12.34</v>
      </c>
      <c r="JJ44" s="602"/>
      <c r="JK44" s="602"/>
      <c r="JL44" s="660"/>
      <c r="JM44" s="660"/>
      <c r="JN44" s="417" t="s">
        <v>2697</v>
      </c>
      <c r="JO44" s="443">
        <v>13.3</v>
      </c>
      <c r="JP44" s="660"/>
      <c r="JQ44" s="660"/>
      <c r="JT44" s="637" t="s">
        <v>2507</v>
      </c>
      <c r="JU44" s="638">
        <f>80.82+75.78</f>
        <v>156.6</v>
      </c>
      <c r="JX44" s="348" t="s">
        <v>2132</v>
      </c>
      <c r="JY44" s="2">
        <f>SUM(KA24:KA32)</f>
        <v>1008.43</v>
      </c>
      <c r="JZ44" s="337" t="s">
        <v>2827</v>
      </c>
      <c r="KA44" s="443">
        <v>26.5</v>
      </c>
      <c r="KE44" s="746"/>
      <c r="KF44" s="750" t="s">
        <v>2861</v>
      </c>
      <c r="KG44" s="700">
        <v>35.25</v>
      </c>
      <c r="KL44" s="385">
        <v>9</v>
      </c>
      <c r="KM44" s="453" t="s">
        <v>2957</v>
      </c>
      <c r="KN44" s="740" t="s">
        <v>2969</v>
      </c>
      <c r="KR44" s="385">
        <v>12.4</v>
      </c>
      <c r="KS44" s="453" t="s">
        <v>3043</v>
      </c>
      <c r="KT44" s="805" t="s">
        <v>3027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1931</v>
      </c>
      <c r="GC45" s="6">
        <v>20</v>
      </c>
      <c r="GD45" s="288"/>
      <c r="GH45" s="360" t="s">
        <v>1971</v>
      </c>
      <c r="GI45" s="6">
        <v>64.680000000000007</v>
      </c>
      <c r="GJ45" t="s">
        <v>1034</v>
      </c>
      <c r="GN45" s="353">
        <v>100</v>
      </c>
      <c r="GO45" s="365"/>
      <c r="GP45" t="s">
        <v>93</v>
      </c>
      <c r="GT45" s="360" t="s">
        <v>2036</v>
      </c>
      <c r="GU45" s="6">
        <v>70</v>
      </c>
      <c r="GZ45" s="370">
        <v>60</v>
      </c>
      <c r="HA45" s="340" t="s">
        <v>1828</v>
      </c>
      <c r="HF45" t="s">
        <v>2051</v>
      </c>
      <c r="HG45" s="6">
        <v>90</v>
      </c>
      <c r="HX45" s="487" t="s">
        <v>2263</v>
      </c>
      <c r="HY45" s="487"/>
      <c r="HZ45" t="s">
        <v>93</v>
      </c>
      <c r="ID45" s="385">
        <f>20+9</f>
        <v>29</v>
      </c>
      <c r="IE45" s="340" t="s">
        <v>2310</v>
      </c>
      <c r="IH45" s="362" t="s">
        <v>1392</v>
      </c>
      <c r="II45" s="2">
        <f>SUM(IK10:IK11)</f>
        <v>3467.75</v>
      </c>
      <c r="IJ45" s="385">
        <v>20</v>
      </c>
      <c r="IK45" s="340" t="s">
        <v>2369</v>
      </c>
      <c r="IO45" s="407"/>
      <c r="IP45" s="385">
        <v>12</v>
      </c>
      <c r="IQ45" s="453" t="s">
        <v>2424</v>
      </c>
      <c r="IV45" s="467"/>
      <c r="IW45" s="469"/>
      <c r="JB45" s="495" t="s">
        <v>2545</v>
      </c>
      <c r="JC45" s="442">
        <v>18</v>
      </c>
      <c r="JG45" s="408"/>
      <c r="JH45" s="377" t="s">
        <v>2933</v>
      </c>
      <c r="JI45" s="443">
        <v>65</v>
      </c>
      <c r="JN45" s="577" t="s">
        <v>2696</v>
      </c>
      <c r="JO45" s="443">
        <v>120.36</v>
      </c>
      <c r="JT45" s="652" t="s">
        <v>2755</v>
      </c>
      <c r="JU45" s="653">
        <v>27.83</v>
      </c>
      <c r="JX45" s="337" t="s">
        <v>2130</v>
      </c>
      <c r="JY45" s="2">
        <f>SUM(KA33:KA44)</f>
        <v>681.71</v>
      </c>
      <c r="JZ45" s="649" t="s">
        <v>2943</v>
      </c>
      <c r="KA45" s="78">
        <f>8+61+1</f>
        <v>70</v>
      </c>
      <c r="KE45" s="746"/>
      <c r="KF45" s="751" t="s">
        <v>2877</v>
      </c>
      <c r="KG45" s="700">
        <v>98.58</v>
      </c>
      <c r="KJ45" s="341" t="s">
        <v>2972</v>
      </c>
      <c r="KK45" s="720">
        <v>250</v>
      </c>
      <c r="KL45" s="385">
        <v>10</v>
      </c>
      <c r="KM45" s="453" t="s">
        <v>2966</v>
      </c>
      <c r="KP45" s="789" t="s">
        <v>2964</v>
      </c>
      <c r="KQ45" s="795"/>
      <c r="KR45" s="385">
        <f>10+10+5+5</f>
        <v>30</v>
      </c>
      <c r="KS45" s="453" t="s">
        <v>3058</v>
      </c>
      <c r="KT45" s="805" t="s">
        <v>3026</v>
      </c>
      <c r="KU45" s="806"/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1916</v>
      </c>
      <c r="FW46" s="6"/>
      <c r="GB46" s="360" t="s">
        <v>1942</v>
      </c>
      <c r="GC46" s="6">
        <v>20</v>
      </c>
      <c r="GN46" s="341" t="s">
        <v>2017</v>
      </c>
      <c r="GO46" s="354">
        <f>GK17+GN45-GQ17</f>
        <v>104</v>
      </c>
      <c r="GP46" t="s">
        <v>1149</v>
      </c>
      <c r="GT46" s="360" t="s">
        <v>2050</v>
      </c>
      <c r="GU46" s="6">
        <v>29.6</v>
      </c>
      <c r="GZ46" s="371">
        <v>20</v>
      </c>
      <c r="HA46" s="340" t="s">
        <v>2113</v>
      </c>
      <c r="HX46" s="487"/>
      <c r="HY46" s="487"/>
      <c r="ID46" s="253" t="s">
        <v>2321</v>
      </c>
      <c r="IE46" s="344">
        <v>23</v>
      </c>
      <c r="IH46" s="346" t="s">
        <v>2131</v>
      </c>
      <c r="II46" s="363">
        <f>SUM(IK12:IK13)</f>
        <v>2138.0500000000002</v>
      </c>
      <c r="IJ46" s="385">
        <v>5</v>
      </c>
      <c r="IK46" s="340" t="s">
        <v>2353</v>
      </c>
      <c r="IO46" s="407"/>
      <c r="IP46" s="385">
        <v>20</v>
      </c>
      <c r="IQ46" s="453" t="s">
        <v>2179</v>
      </c>
      <c r="IV46" s="202"/>
      <c r="IW46" s="357"/>
      <c r="JB46" s="417" t="s">
        <v>2396</v>
      </c>
      <c r="JC46" s="502">
        <v>86.8</v>
      </c>
      <c r="JH46" s="417" t="s">
        <v>2601</v>
      </c>
      <c r="JI46" s="443">
        <v>13.3</v>
      </c>
      <c r="JN46" s="377" t="s">
        <v>2683</v>
      </c>
      <c r="JO46" s="443">
        <v>2.79</v>
      </c>
      <c r="JT46" s="652" t="s">
        <v>2736</v>
      </c>
      <c r="JU46" s="653">
        <v>8.61</v>
      </c>
      <c r="JX46" s="337" t="s">
        <v>2867</v>
      </c>
      <c r="JY46" s="2">
        <f>SUM(KA36:KA44)</f>
        <v>301.70999999999998</v>
      </c>
      <c r="JZ46" s="695" t="s">
        <v>2944</v>
      </c>
      <c r="KA46" s="78">
        <v>300</v>
      </c>
      <c r="KE46" s="746"/>
      <c r="KL46" s="385">
        <v>20</v>
      </c>
      <c r="KM46" s="453" t="s">
        <v>2998</v>
      </c>
      <c r="KP46" s="789" t="s">
        <v>2965</v>
      </c>
      <c r="KQ46" s="795"/>
      <c r="KR46" s="385"/>
      <c r="KS46" s="453"/>
      <c r="KT46" s="804" t="s">
        <v>3025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1876</v>
      </c>
      <c r="FW47">
        <v>52.15</v>
      </c>
      <c r="GB47" s="360" t="s">
        <v>1937</v>
      </c>
      <c r="GC47" s="6">
        <v>30.35</v>
      </c>
      <c r="GH47" t="s">
        <v>1571</v>
      </c>
      <c r="GI47" s="1">
        <v>638</v>
      </c>
      <c r="GN47" s="340" t="s">
        <v>1994</v>
      </c>
      <c r="GO47" s="341"/>
      <c r="GP47" t="s">
        <v>1034</v>
      </c>
      <c r="GT47" s="360" t="s">
        <v>2033</v>
      </c>
      <c r="GU47" s="6">
        <v>32.1</v>
      </c>
      <c r="GZ47" s="371">
        <v>30</v>
      </c>
      <c r="HA47" s="340" t="s">
        <v>2072</v>
      </c>
      <c r="HX47" s="214" t="s">
        <v>2257</v>
      </c>
      <c r="HY47">
        <f>40+150</f>
        <v>190</v>
      </c>
      <c r="ID47" s="377" t="s">
        <v>2278</v>
      </c>
      <c r="IE47">
        <v>54.8</v>
      </c>
      <c r="IH47" s="345" t="s">
        <v>2132</v>
      </c>
      <c r="II47" s="363">
        <f>SUM(IK16:IK23)</f>
        <v>1252.2433333333333</v>
      </c>
      <c r="IJ47" s="385">
        <v>7</v>
      </c>
      <c r="IK47" s="340" t="s">
        <v>2365</v>
      </c>
      <c r="IO47" s="408"/>
      <c r="IP47" s="353">
        <v>10</v>
      </c>
      <c r="IQ47" s="453" t="s">
        <v>2434</v>
      </c>
      <c r="IV47" s="202"/>
      <c r="IW47" s="202"/>
      <c r="JB47" s="417" t="s">
        <v>2577</v>
      </c>
      <c r="JC47" s="443">
        <v>36.9</v>
      </c>
      <c r="JH47" s="202" t="s">
        <v>2647</v>
      </c>
      <c r="JI47" s="357">
        <v>3</v>
      </c>
      <c r="JN47" s="417" t="s">
        <v>2701</v>
      </c>
      <c r="JO47" s="443">
        <v>8.5500000000000007</v>
      </c>
      <c r="JT47" s="652" t="s">
        <v>2737</v>
      </c>
      <c r="JU47" s="653">
        <v>19.46</v>
      </c>
      <c r="JZ47" s="9" t="s">
        <v>2162</v>
      </c>
      <c r="KA47" s="444">
        <f>670+187</f>
        <v>857</v>
      </c>
      <c r="KE47" s="746"/>
      <c r="KJ47" s="740" t="s">
        <v>2964</v>
      </c>
      <c r="KK47" s="746"/>
      <c r="KL47" s="385">
        <v>24</v>
      </c>
      <c r="KM47" s="453" t="s">
        <v>2973</v>
      </c>
      <c r="KR47" s="385"/>
      <c r="KS47" s="453"/>
      <c r="KT47" s="803" t="s">
        <v>2678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1877</v>
      </c>
      <c r="GH48" t="s">
        <v>1981</v>
      </c>
      <c r="GI48" s="6"/>
      <c r="GJ48" t="s">
        <v>478</v>
      </c>
      <c r="GN48" s="340" t="s">
        <v>2015</v>
      </c>
      <c r="GO48" s="341"/>
      <c r="GT48" s="360" t="s">
        <v>1492</v>
      </c>
      <c r="GU48">
        <v>2.66</v>
      </c>
      <c r="GZ48" s="360" t="s">
        <v>2076</v>
      </c>
      <c r="HA48" s="6">
        <v>6</v>
      </c>
      <c r="HB48" s="288"/>
      <c r="HX48" s="489" t="s">
        <v>2228</v>
      </c>
      <c r="HY48" s="344">
        <v>150</v>
      </c>
      <c r="ID48" s="377" t="s">
        <v>1656</v>
      </c>
      <c r="IE48">
        <v>54.6</v>
      </c>
      <c r="IH48" s="337" t="s">
        <v>2130</v>
      </c>
      <c r="II48" s="363">
        <f>SUM(IK24:IK36)</f>
        <v>602.14</v>
      </c>
      <c r="IJ48" s="353">
        <f>-IK7</f>
        <v>-15</v>
      </c>
      <c r="IK48" s="340" t="s">
        <v>2354</v>
      </c>
      <c r="IP48" s="353">
        <f>17+11+6</f>
        <v>34</v>
      </c>
      <c r="IQ48" s="453" t="s">
        <v>2439</v>
      </c>
      <c r="IV48" s="376"/>
      <c r="IW48" s="202"/>
      <c r="JB48" s="417" t="s">
        <v>2601</v>
      </c>
      <c r="JC48" s="443">
        <v>13.3</v>
      </c>
      <c r="JH48" s="202"/>
      <c r="JI48" s="202"/>
      <c r="JN48" s="417" t="s">
        <v>2702</v>
      </c>
      <c r="JO48" s="443">
        <v>10.35</v>
      </c>
      <c r="JS48" s="65" t="s">
        <v>2749</v>
      </c>
      <c r="JT48" s="652" t="s">
        <v>2739</v>
      </c>
      <c r="JU48" s="654">
        <f>5.42+0.41+0.58+2.33+0.29+0.28+0.26+1.45+0.29+4.73+1.54</f>
        <v>17.579999999999998</v>
      </c>
      <c r="JZ48" s="388">
        <v>47.04</v>
      </c>
      <c r="KA48" s="444" t="s">
        <v>2839</v>
      </c>
      <c r="KJ48" s="740" t="s">
        <v>2965</v>
      </c>
      <c r="KK48" s="746"/>
      <c r="KL48" s="385">
        <v>8</v>
      </c>
      <c r="KM48" s="453" t="s">
        <v>3001</v>
      </c>
      <c r="KR48" s="789" t="s">
        <v>3049</v>
      </c>
      <c r="KS48" s="789">
        <v>120</v>
      </c>
      <c r="KT48" s="789" t="s">
        <v>506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2059</v>
      </c>
      <c r="GO49" s="341"/>
      <c r="GT49" s="360" t="s">
        <v>2025</v>
      </c>
      <c r="GU49" s="6">
        <v>60.6</v>
      </c>
      <c r="GV49" s="899" t="s">
        <v>2058</v>
      </c>
      <c r="GZ49" t="s">
        <v>2052</v>
      </c>
      <c r="HA49" s="210">
        <v>670.00099999999998</v>
      </c>
      <c r="HX49" s="490" t="s">
        <v>2253</v>
      </c>
      <c r="HY49">
        <f>389.7+107.1</f>
        <v>496.79999999999995</v>
      </c>
      <c r="ID49" s="377" t="s">
        <v>2299</v>
      </c>
      <c r="IE49">
        <v>195.81</v>
      </c>
      <c r="IH49" s="337" t="s">
        <v>2643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453" t="s">
        <v>2445</v>
      </c>
      <c r="IV49" s="202"/>
      <c r="IW49" s="342"/>
      <c r="JB49" s="377"/>
      <c r="JC49" s="443"/>
      <c r="JH49" s="376"/>
      <c r="JI49" s="202"/>
      <c r="JN49" s="417" t="s">
        <v>2703</v>
      </c>
      <c r="JO49" s="443">
        <v>15.000999999999999</v>
      </c>
      <c r="JS49" s="212" t="s">
        <v>2750</v>
      </c>
      <c r="JT49" s="652" t="s">
        <v>2741</v>
      </c>
      <c r="JU49" s="655">
        <f>0.29*3</f>
        <v>0.86999999999999988</v>
      </c>
      <c r="JZ49" s="365" t="s">
        <v>1411</v>
      </c>
      <c r="KA49" s="384">
        <f>JW19+JY53+JY8-KC19</f>
        <v>280</v>
      </c>
      <c r="KL49" s="740" t="s">
        <v>2982</v>
      </c>
      <c r="KM49" s="740">
        <v>7.2</v>
      </c>
      <c r="KR49" s="789" t="s">
        <v>3044</v>
      </c>
      <c r="KS49" s="789">
        <v>82.45</v>
      </c>
      <c r="KT49" s="810" t="s">
        <v>3036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1941</v>
      </c>
      <c r="GC50" s="6"/>
      <c r="GN50" s="340" t="s">
        <v>2014</v>
      </c>
      <c r="GO50" s="341"/>
      <c r="GP50" t="s">
        <v>478</v>
      </c>
      <c r="GT50" s="360" t="s">
        <v>2032</v>
      </c>
      <c r="GU50" s="6">
        <v>14.9</v>
      </c>
      <c r="GV50" s="899"/>
      <c r="GZ50" s="210" t="s">
        <v>2083</v>
      </c>
      <c r="HX50" s="489" t="s">
        <v>2227</v>
      </c>
      <c r="HY50" s="386">
        <v>14.4</v>
      </c>
      <c r="ID50" s="377" t="s">
        <v>2306</v>
      </c>
      <c r="IE50">
        <v>50</v>
      </c>
      <c r="IH50" s="340" t="s">
        <v>2371</v>
      </c>
      <c r="II50" s="353">
        <v>300</v>
      </c>
      <c r="IJ50" s="353">
        <v>20</v>
      </c>
      <c r="IK50" s="340" t="s">
        <v>2367</v>
      </c>
      <c r="IP50" s="417" t="s">
        <v>2410</v>
      </c>
      <c r="IQ50" s="443">
        <f>757-3.8</f>
        <v>753.2</v>
      </c>
      <c r="IV50" s="377"/>
      <c r="IW50" s="468"/>
      <c r="JB50" s="377"/>
      <c r="JC50" s="443"/>
      <c r="JH50" s="202"/>
      <c r="JI50" s="342"/>
      <c r="JN50" s="202" t="s">
        <v>2704</v>
      </c>
      <c r="JO50" s="357">
        <v>7.67</v>
      </c>
      <c r="JS50" s="659"/>
      <c r="JT50" s="656" t="s">
        <v>2743</v>
      </c>
      <c r="JU50" s="654">
        <v>21.27</v>
      </c>
      <c r="JZ50" s="385">
        <v>34</v>
      </c>
      <c r="KA50" s="669" t="s">
        <v>2840</v>
      </c>
      <c r="KG50" s="702"/>
      <c r="KL50" s="740" t="s">
        <v>2980</v>
      </c>
      <c r="KM50" s="740">
        <v>32.4</v>
      </c>
      <c r="KR50" s="733" t="s">
        <v>3054</v>
      </c>
      <c r="KS50" s="442">
        <v>50</v>
      </c>
      <c r="KT50" s="810" t="s">
        <v>3035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1903</v>
      </c>
      <c r="FQ51" s="253"/>
      <c r="GB51" t="s">
        <v>1427</v>
      </c>
      <c r="GC51">
        <v>100</v>
      </c>
      <c r="GN51" s="360" t="s">
        <v>1999</v>
      </c>
      <c r="GO51" s="6">
        <f>360+18</f>
        <v>378</v>
      </c>
      <c r="GP51" s="288" t="s">
        <v>1306</v>
      </c>
      <c r="GT51" s="360" t="s">
        <v>2047</v>
      </c>
      <c r="GU51" s="6">
        <v>55.29</v>
      </c>
      <c r="GV51" s="899"/>
      <c r="GZ51" t="s">
        <v>2051</v>
      </c>
      <c r="HA51" s="6">
        <v>50.000999999999998</v>
      </c>
      <c r="HX51" s="490" t="s">
        <v>2255</v>
      </c>
      <c r="HY51">
        <v>17.88</v>
      </c>
      <c r="ID51" s="377" t="s">
        <v>2308</v>
      </c>
      <c r="IE51">
        <v>26.8</v>
      </c>
      <c r="IJ51" s="385">
        <v>10</v>
      </c>
      <c r="IK51" s="63" t="s">
        <v>2348</v>
      </c>
      <c r="IP51" s="417" t="s">
        <v>2396</v>
      </c>
      <c r="IQ51" s="443">
        <v>92.8</v>
      </c>
      <c r="IV51" s="377"/>
      <c r="IW51" s="202"/>
      <c r="JB51" s="377"/>
      <c r="JC51" s="443"/>
      <c r="JH51" s="377"/>
      <c r="JI51" s="468"/>
      <c r="JN51" s="377" t="s">
        <v>2705</v>
      </c>
      <c r="JO51" s="357">
        <v>3</v>
      </c>
      <c r="JT51" s="657" t="s">
        <v>2740</v>
      </c>
      <c r="JU51" s="658"/>
      <c r="JZ51" s="385">
        <v>25</v>
      </c>
      <c r="KA51" s="453" t="s">
        <v>2770</v>
      </c>
      <c r="KL51" s="733" t="s">
        <v>2981</v>
      </c>
      <c r="KM51" s="800">
        <v>1746</v>
      </c>
      <c r="KT51" s="810" t="s">
        <v>3034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2006</v>
      </c>
      <c r="GO52">
        <v>38.9</v>
      </c>
      <c r="GU52" s="6"/>
      <c r="GV52" s="899"/>
      <c r="HF52" s="1"/>
      <c r="HX52" s="490" t="s">
        <v>2256</v>
      </c>
      <c r="HY52">
        <v>23.86</v>
      </c>
      <c r="IJ52" s="417" t="s">
        <v>2344</v>
      </c>
      <c r="IK52" s="428">
        <f>161+14</f>
        <v>175</v>
      </c>
      <c r="IP52" s="417" t="s">
        <v>2402</v>
      </c>
      <c r="IQ52" s="443">
        <f>220.8+7.27*2</f>
        <v>235.34</v>
      </c>
      <c r="IV52" s="377"/>
      <c r="IW52" s="202"/>
      <c r="JB52" s="467"/>
      <c r="JC52" s="469"/>
      <c r="JH52" s="377"/>
      <c r="JI52" s="202"/>
      <c r="JN52" s="377"/>
      <c r="JZ52" s="385">
        <v>7</v>
      </c>
      <c r="KA52" s="453" t="s">
        <v>1310</v>
      </c>
      <c r="KR52" s="733"/>
      <c r="KS52" s="442"/>
      <c r="KT52" s="806" t="s">
        <v>2970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2009</v>
      </c>
      <c r="GO53" s="6">
        <v>33</v>
      </c>
      <c r="GT53" t="s">
        <v>2052</v>
      </c>
      <c r="GU53" s="372">
        <v>900</v>
      </c>
      <c r="HB53" s="1"/>
      <c r="HC53" s="1"/>
      <c r="HD53" s="1"/>
      <c r="HE53" s="1"/>
      <c r="HF53" s="1"/>
      <c r="HX53" s="490" t="s">
        <v>2254</v>
      </c>
      <c r="HY53">
        <v>19.89</v>
      </c>
      <c r="ID53" s="404" t="s">
        <v>2263</v>
      </c>
      <c r="IE53" s="404"/>
      <c r="II53" s="407"/>
      <c r="IJ53" s="417" t="s">
        <v>2361</v>
      </c>
      <c r="IK53" s="428">
        <v>87.8</v>
      </c>
      <c r="IP53" s="376" t="s">
        <v>2425</v>
      </c>
      <c r="IQ53" s="443">
        <v>84.9</v>
      </c>
      <c r="IV53" s="377"/>
      <c r="JB53" s="202"/>
      <c r="JC53" s="357"/>
      <c r="JH53" s="377"/>
      <c r="JI53" s="202"/>
      <c r="JX53" s="341" t="s">
        <v>2828</v>
      </c>
      <c r="JY53" s="353">
        <v>200</v>
      </c>
      <c r="JZ53" s="677">
        <v>20</v>
      </c>
      <c r="KA53" s="678" t="s">
        <v>2775</v>
      </c>
      <c r="KL53" s="733"/>
      <c r="KM53" s="442"/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72" t="s">
        <v>2049</v>
      </c>
      <c r="HB54" s="1"/>
      <c r="HC54" s="1"/>
      <c r="HD54" s="382"/>
      <c r="HE54" s="1"/>
      <c r="HF54" s="1"/>
      <c r="HX54" s="490" t="s">
        <v>2243</v>
      </c>
      <c r="HY54">
        <f>30.9+469.82+100.14+34.91</f>
        <v>635.77</v>
      </c>
      <c r="ID54" s="214" t="s">
        <v>2262</v>
      </c>
      <c r="IE54" s="142">
        <f>30+139.5</f>
        <v>169.5</v>
      </c>
      <c r="II54" s="407"/>
      <c r="IJ54" s="417" t="s">
        <v>2370</v>
      </c>
      <c r="IK54" s="428">
        <f>40.6+11.5</f>
        <v>52.1</v>
      </c>
      <c r="IP54" s="377" t="s">
        <v>2426</v>
      </c>
      <c r="IQ54" s="443">
        <v>105.8</v>
      </c>
      <c r="IV54" s="377"/>
      <c r="JB54" s="202"/>
      <c r="JC54" s="202"/>
      <c r="JH54" s="377"/>
      <c r="JZ54" s="385">
        <v>20</v>
      </c>
      <c r="KA54" s="453" t="s">
        <v>2804</v>
      </c>
      <c r="KT54" s="789" t="s">
        <v>2968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2051</v>
      </c>
      <c r="GU55" s="6">
        <v>44</v>
      </c>
      <c r="HB55" s="1"/>
      <c r="HC55" s="1"/>
      <c r="HD55" s="382"/>
      <c r="HE55" s="1"/>
      <c r="HF55" s="1"/>
      <c r="HX55" s="142" t="s">
        <v>2217</v>
      </c>
      <c r="HY55" s="142">
        <v>7329.5</v>
      </c>
      <c r="ID55" s="214" t="s">
        <v>2276</v>
      </c>
      <c r="IE55">
        <v>15.32</v>
      </c>
      <c r="II55" s="408"/>
      <c r="IJ55" s="417" t="s">
        <v>2387</v>
      </c>
      <c r="IK55" s="428">
        <v>10.49</v>
      </c>
      <c r="IP55" s="377" t="s">
        <v>2429</v>
      </c>
      <c r="IQ55" s="443"/>
      <c r="IV55" s="377"/>
      <c r="JB55" s="376"/>
      <c r="JC55" s="202"/>
      <c r="JH55" s="377"/>
      <c r="JZ55" s="385">
        <v>80</v>
      </c>
      <c r="KA55" s="453" t="s">
        <v>2806</v>
      </c>
      <c r="KS55" s="792"/>
      <c r="KT55" s="789" t="s">
        <v>2969</v>
      </c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2016</v>
      </c>
      <c r="GO56" s="1"/>
      <c r="HB56" s="1"/>
      <c r="HC56" s="1"/>
      <c r="HD56" s="382"/>
      <c r="HE56" s="1"/>
      <c r="HF56" s="1"/>
      <c r="HX56" s="377"/>
      <c r="ID56" s="489" t="s">
        <v>2277</v>
      </c>
      <c r="IE56" s="344">
        <v>67.61</v>
      </c>
      <c r="IJ56" s="417" t="s">
        <v>2243</v>
      </c>
      <c r="IK56" s="428">
        <v>135.09</v>
      </c>
      <c r="IP56" s="377" t="s">
        <v>2420</v>
      </c>
      <c r="IQ56" s="443">
        <v>47.05</v>
      </c>
      <c r="JB56" s="202"/>
      <c r="JC56" s="342"/>
      <c r="JH56" s="377"/>
      <c r="JZ56" s="385">
        <v>6</v>
      </c>
      <c r="KA56" s="453" t="s">
        <v>2805</v>
      </c>
      <c r="KM56" s="743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382"/>
      <c r="HE57" s="1"/>
      <c r="HF57" s="1"/>
      <c r="HX57" s="377"/>
      <c r="ID57" s="214" t="s">
        <v>2285</v>
      </c>
      <c r="IE57" s="406">
        <v>-25.98</v>
      </c>
      <c r="IJ57" s="404" t="s">
        <v>2368</v>
      </c>
      <c r="IK57" s="404"/>
      <c r="IP57" s="377" t="s">
        <v>2447</v>
      </c>
      <c r="IQ57" s="469">
        <v>22.2</v>
      </c>
      <c r="JB57" s="377"/>
      <c r="JC57" s="468"/>
      <c r="JZ57" s="385">
        <v>50</v>
      </c>
      <c r="KA57" s="45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69"/>
      <c r="HB58" s="1"/>
      <c r="HC58" s="1"/>
      <c r="HD58" s="382"/>
      <c r="HE58" s="1"/>
      <c r="HF58" s="1"/>
      <c r="HX58" s="377"/>
      <c r="ID58" s="490" t="s">
        <v>2304</v>
      </c>
      <c r="IE58">
        <v>8.8000000000000007</v>
      </c>
      <c r="IJ58" s="377" t="s">
        <v>2322</v>
      </c>
      <c r="IK58">
        <v>150</v>
      </c>
      <c r="IP58" s="467" t="s">
        <v>2450</v>
      </c>
      <c r="IQ58" s="357">
        <v>22.6</v>
      </c>
      <c r="JB58" s="377"/>
      <c r="JC58" s="202"/>
      <c r="JZ58" s="649" t="s">
        <v>2809</v>
      </c>
      <c r="KA58" s="649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382"/>
      <c r="HE59" s="1"/>
      <c r="HF59" s="1"/>
      <c r="ID59" s="470" t="s">
        <v>2318</v>
      </c>
      <c r="IE59">
        <f>2000+1311.79</f>
        <v>3311.79</v>
      </c>
      <c r="IJ59" s="377" t="s">
        <v>2304</v>
      </c>
      <c r="IK59">
        <v>5.4</v>
      </c>
      <c r="IP59" s="202"/>
      <c r="IQ59" s="202"/>
      <c r="JB59" s="377"/>
      <c r="JC59" s="202"/>
      <c r="JW59" s="368"/>
      <c r="JZ59" s="649" t="s">
        <v>2914</v>
      </c>
      <c r="KA59" s="383">
        <f>30/5.217</f>
        <v>5.7504312823461765</v>
      </c>
      <c r="KC59" s="368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382"/>
      <c r="HE60" s="1"/>
      <c r="HF60" s="1"/>
      <c r="ID60" s="377"/>
      <c r="IJ60" s="377"/>
      <c r="IP60" s="202"/>
      <c r="IQ60" s="202"/>
      <c r="JB60" s="377"/>
      <c r="JZ60" s="649" t="s">
        <v>2807</v>
      </c>
      <c r="KA60" s="649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382"/>
      <c r="HE61" s="1"/>
      <c r="HF61" s="1"/>
      <c r="ID61" s="377"/>
      <c r="IJ61" s="377"/>
      <c r="IP61" s="376"/>
      <c r="IQ61" s="342"/>
      <c r="JB61" s="377"/>
      <c r="JZ61" s="649" t="s">
        <v>2842</v>
      </c>
      <c r="KA61" s="649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377"/>
      <c r="IJ62" s="404"/>
      <c r="IK62" s="404"/>
      <c r="IP62" s="202"/>
      <c r="IQ62" s="468"/>
      <c r="JB62" s="377"/>
      <c r="JZ62" s="649" t="s">
        <v>2768</v>
      </c>
      <c r="KA62" s="649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377"/>
      <c r="IJ63" s="142"/>
      <c r="IK63" s="142"/>
      <c r="IP63" s="377"/>
      <c r="IQ63" s="202"/>
      <c r="JZ63" s="649" t="s">
        <v>2795</v>
      </c>
      <c r="KA63" s="676">
        <v>36.200000000000003</v>
      </c>
    </row>
    <row r="64" spans="41:306">
      <c r="DG64" s="218" t="s">
        <v>1167</v>
      </c>
      <c r="DH64" s="302">
        <v>1500</v>
      </c>
      <c r="ID64" s="377"/>
      <c r="IP64" s="377"/>
      <c r="IQ64" s="202"/>
      <c r="IY64" s="368"/>
      <c r="JE64" s="368"/>
      <c r="JZ64" s="688" t="s">
        <v>2789</v>
      </c>
      <c r="KA64" s="649">
        <v>9.8000000000000007</v>
      </c>
    </row>
    <row r="65" spans="205:307">
      <c r="IP65" s="377"/>
      <c r="JK65" s="368"/>
      <c r="JQ65" s="368"/>
      <c r="JZ65" s="686" t="s">
        <v>2825</v>
      </c>
      <c r="KA65" s="686">
        <v>9.77</v>
      </c>
    </row>
    <row r="66" spans="205:307">
      <c r="IJ66" s="376"/>
      <c r="IK66" s="344"/>
      <c r="IP66" s="377"/>
      <c r="JZ66" s="686" t="s">
        <v>2824</v>
      </c>
      <c r="KA66" s="686">
        <v>11.9</v>
      </c>
    </row>
    <row r="67" spans="205:307">
      <c r="IK67" s="406"/>
      <c r="IM67" s="368"/>
      <c r="IP67" s="377"/>
      <c r="IS67" s="368"/>
      <c r="JZ67" s="686" t="s">
        <v>2826</v>
      </c>
      <c r="KA67" s="686">
        <v>6.62</v>
      </c>
      <c r="KI67" s="368"/>
      <c r="KO67" s="368"/>
    </row>
    <row r="68" spans="205:307">
      <c r="IJ68" s="377"/>
      <c r="IP68" s="377"/>
      <c r="JY68" s="649" t="s">
        <v>2754</v>
      </c>
      <c r="JZ68" s="11" t="s">
        <v>2776</v>
      </c>
      <c r="KA68" s="660">
        <v>69</v>
      </c>
    </row>
    <row r="69" spans="205:307">
      <c r="HO69" s="368"/>
      <c r="IG69" s="368"/>
      <c r="IJ69" s="377"/>
      <c r="JZ69" s="11" t="s">
        <v>2796</v>
      </c>
      <c r="KA69" s="649">
        <v>8</v>
      </c>
    </row>
    <row r="70" spans="205:307">
      <c r="IJ70" s="377"/>
      <c r="JZ70" s="696" t="s">
        <v>2841</v>
      </c>
      <c r="KA70" s="694">
        <v>29.7</v>
      </c>
    </row>
    <row r="71" spans="205:307">
      <c r="IJ71" s="377"/>
      <c r="JZ71" s="11" t="s">
        <v>2808</v>
      </c>
      <c r="KA71" s="649">
        <v>8.1999999999999993</v>
      </c>
      <c r="KU71" s="368"/>
    </row>
    <row r="72" spans="205:307">
      <c r="IJ72" s="377"/>
    </row>
    <row r="73" spans="205:307">
      <c r="IJ73" s="377"/>
    </row>
    <row r="74" spans="205:307">
      <c r="HI74" s="368"/>
    </row>
    <row r="76" spans="205:307">
      <c r="GW76" s="368"/>
    </row>
    <row r="77" spans="205:307">
      <c r="HU77" s="368"/>
    </row>
    <row r="78" spans="205:307">
      <c r="HC78" s="368"/>
    </row>
    <row r="79" spans="205:307">
      <c r="IA79" s="368"/>
    </row>
  </sheetData>
  <mergeCells count="252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KP13:KQ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8"/>
  <sheetViews>
    <sheetView workbookViewId="0">
      <selection activeCell="B6" sqref="B6"/>
    </sheetView>
  </sheetViews>
  <sheetFormatPr defaultRowHeight="12.75"/>
  <cols>
    <col min="3" max="3" width="21.7109375" bestFit="1" customWidth="1"/>
    <col min="4" max="4" width="11.28515625" bestFit="1" customWidth="1"/>
    <col min="5" max="5" width="11" bestFit="1" customWidth="1"/>
    <col min="6" max="6" width="23.42578125" bestFit="1" customWidth="1"/>
  </cols>
  <sheetData>
    <row r="2" spans="2:6">
      <c r="E2" s="368"/>
    </row>
    <row r="3" spans="2:6">
      <c r="B3" t="s">
        <v>3069</v>
      </c>
      <c r="D3" t="s">
        <v>2436</v>
      </c>
      <c r="E3" t="s">
        <v>423</v>
      </c>
      <c r="F3" t="s">
        <v>3070</v>
      </c>
    </row>
    <row r="4" spans="2:6">
      <c r="B4" t="s">
        <v>3082</v>
      </c>
      <c r="C4" t="s">
        <v>3071</v>
      </c>
      <c r="D4" t="s">
        <v>3081</v>
      </c>
      <c r="E4" t="s">
        <v>3080</v>
      </c>
      <c r="F4" t="s">
        <v>3104</v>
      </c>
    </row>
    <row r="5" spans="2:6">
      <c r="B5" t="s">
        <v>3075</v>
      </c>
      <c r="C5" t="s">
        <v>3074</v>
      </c>
    </row>
    <row r="6" spans="2:6">
      <c r="C6" t="s">
        <v>3076</v>
      </c>
      <c r="D6" t="s">
        <v>3072</v>
      </c>
      <c r="E6" t="s">
        <v>3073</v>
      </c>
      <c r="F6" s="214" t="s">
        <v>3103</v>
      </c>
    </row>
    <row r="7" spans="2:6">
      <c r="C7" t="s">
        <v>3077</v>
      </c>
      <c r="D7" s="214" t="s">
        <v>3085</v>
      </c>
      <c r="E7" t="s">
        <v>3078</v>
      </c>
      <c r="F7" t="s">
        <v>3079</v>
      </c>
    </row>
    <row r="8" spans="2:6">
      <c r="C8" t="s">
        <v>3083</v>
      </c>
      <c r="D8" t="s">
        <v>3084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2023-10-30T00:27:13Z</dcterms:modified>
</cp:coreProperties>
</file>