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3B2533C-160F-4870-A618-1C6C3D328733}" xr6:coauthVersionLast="47" xr6:coauthVersionMax="47" xr10:uidLastSave="{00000000-0000-0000-0000-000000000000}"/>
  <bookViews>
    <workbookView xWindow="150" yWindow="-21600" windowWidth="17310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9" i="2" l="1"/>
  <c r="AB38" i="2"/>
  <c r="AA38" i="2"/>
  <c r="Z38" i="2"/>
  <c r="Y38" i="2"/>
  <c r="X38" i="2"/>
  <c r="W38" i="2"/>
  <c r="V38" i="2"/>
  <c r="T38" i="2"/>
  <c r="S38" i="2"/>
  <c r="Q38" i="2"/>
  <c r="P38" i="2"/>
  <c r="M38" i="2"/>
  <c r="L38" i="2"/>
  <c r="K38" i="2"/>
  <c r="I38" i="2"/>
  <c r="H38" i="2"/>
  <c r="G38" i="2"/>
  <c r="R33" i="2"/>
  <c r="G32" i="2"/>
  <c r="O31" i="2"/>
  <c r="G31" i="2"/>
  <c r="O30" i="2"/>
  <c r="G26" i="2"/>
  <c r="O25" i="2"/>
  <c r="K25" i="2"/>
  <c r="G25" i="2"/>
  <c r="G24" i="2"/>
  <c r="R23" i="2"/>
  <c r="O23" i="2"/>
  <c r="K23" i="2"/>
  <c r="K39" i="2" s="1"/>
  <c r="AA22" i="2"/>
  <c r="AA39" i="2" s="1"/>
  <c r="AA43" i="2" s="1"/>
  <c r="X22" i="2"/>
  <c r="U22" i="2"/>
  <c r="R22" i="2"/>
  <c r="O22" i="2"/>
  <c r="K22" i="2"/>
  <c r="G22" i="2"/>
  <c r="U20" i="2"/>
  <c r="U39" i="2" s="1"/>
  <c r="R20" i="2"/>
  <c r="R39" i="2" s="1"/>
  <c r="O20" i="2"/>
  <c r="O39" i="2" s="1"/>
  <c r="K20" i="2"/>
  <c r="G20" i="2"/>
  <c r="G39" i="2" s="1"/>
  <c r="X19" i="2"/>
  <c r="X39" i="2" s="1"/>
  <c r="O19" i="2"/>
  <c r="S17" i="2"/>
  <c r="P17" i="2"/>
  <c r="L17" i="2"/>
  <c r="H17" i="2"/>
  <c r="Y14" i="2"/>
  <c r="V14" i="2"/>
  <c r="S14" i="2"/>
  <c r="P14" i="2"/>
  <c r="L14" i="2"/>
  <c r="H14" i="2"/>
  <c r="Y13" i="2"/>
  <c r="V13" i="2" s="1"/>
  <c r="V39" i="2" s="1"/>
  <c r="U43" i="2" s="1"/>
  <c r="P10" i="2"/>
  <c r="L10" i="2"/>
  <c r="H10" i="2"/>
  <c r="L6" i="2"/>
  <c r="U3" i="2"/>
  <c r="U38" i="2" s="1"/>
  <c r="R3" i="2"/>
  <c r="R38" i="2" s="1"/>
  <c r="O3" i="2"/>
  <c r="O38" i="2" s="1"/>
  <c r="K3" i="2"/>
  <c r="G3" i="2"/>
  <c r="S13" i="2" l="1"/>
  <c r="Y39" i="2"/>
  <c r="X43" i="2" s="1"/>
  <c r="P13" i="2" l="1"/>
  <c r="S39" i="2"/>
  <c r="R43" i="2" s="1"/>
  <c r="L13" i="2" l="1"/>
  <c r="P39" i="2"/>
  <c r="O43" i="2" s="1"/>
  <c r="H13" i="2" l="1"/>
  <c r="H39" i="2" s="1"/>
  <c r="L39" i="2"/>
  <c r="K43" i="2" s="1"/>
  <c r="G43" i="2" l="1"/>
  <c r="C39" i="2"/>
  <c r="P46" i="2" l="1"/>
  <c r="G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20" authorId="0" shapeId="0" xr:uid="{00000000-0006-0000-0000-000002000000}">
      <text>
        <r>
          <rPr>
            <sz val="9"/>
            <rFont val="Tahoma"/>
            <charset val="134"/>
          </rPr>
          <t>cummulative top-up: red portion</t>
        </r>
      </text>
    </comment>
    <comment ref="E33" authorId="1" shapeId="0" xr:uid="{00000000-0006-0000-0000-000003000000}">
      <text>
        <r>
          <rPr>
            <sz val="9"/>
            <rFont val="Tahoma"/>
            <charset val="134"/>
          </rPr>
          <t>from recon</t>
        </r>
      </text>
    </comment>
    <comment ref="O37" authorId="0" shapeId="0" xr:uid="{00000000-0006-0000-0000-000004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<sst xmlns="http://schemas.openxmlformats.org/spreadsheetml/2006/main" count="195" uniqueCount="101">
  <si>
    <t>val</t>
  </si>
  <si>
    <t>exact≜to'000</t>
  </si>
  <si>
    <t>Feb25{bonus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</si>
  <si>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</si>
  <si>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</si>
  <si>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</si>
  <si>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</si>
  <si>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</si>
  <si>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</si>
  <si>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</si>
  <si>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</si>
  <si>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</si>
  <si>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</si>
  <si>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</si>
  <si>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</si>
  <si>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</si>
  <si>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</si>
  <si>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</si>
  <si>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</si>
  <si>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</si>
  <si>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</si>
  <si>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</si>
  <si>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</si>
  <si>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</si>
  <si>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</si>
  <si>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</si>
  <si>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</si>
  <si>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</si>
  <si>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</si>
  <si>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</si>
  <si>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</si>
  <si>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</si>
  <si>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</si>
  <si>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</si>
  <si>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</si>
  <si>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</si>
  <si>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</si>
  <si>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</si>
  <si>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</si>
  <si>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</si>
  <si>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</si>
  <si>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</si>
  <si>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</si>
  <si>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</si>
  <si>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</si>
  <si>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</si>
  <si>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</si>
  <si>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</si>
  <si>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</si>
  <si>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wifeOA/SA#24k red</t>
  </si>
  <si>
    <t>mom</t>
  </si>
  <si>
    <t>wifeMA</t>
  </si>
  <si>
    <t>CpfOA/SA/MA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</si>
  <si>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</si>
  <si>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</si>
  <si>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</si>
  <si>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</si>
  <si>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</si>
  <si>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</si>
  <si>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</si>
  <si>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</si>
  <si>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</si>
  <si>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</si>
  <si>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</si>
  <si>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</si>
  <si>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</si>
  <si>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</si>
  <si>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r>
      <t>存款</t>
    </r>
    <r>
      <rPr>
        <sz val="10"/>
        <rFont val="Arial"/>
        <charset val="134"/>
      </rPr>
      <t>:C+D+AUM</t>
    </r>
  </si>
  <si>
    <t>boy</t>
  </si>
  <si>
    <t>CDP&gt;</t>
  </si>
  <si>
    <t>存款:153+AUM</t>
  </si>
  <si>
    <t>exAUM&gt;</t>
  </si>
  <si>
    <t>mLock</t>
  </si>
  <si>
    <t>存款 ex-Poems</t>
  </si>
  <si>
    <t>&lt;checked 3x</t>
  </si>
  <si>
    <t>NA</t>
  </si>
  <si>
    <t>.. ccard debt</t>
  </si>
  <si>
    <t>GUI</t>
  </si>
  <si>
    <t>BOC CNY 70k</t>
  </si>
  <si>
    <t>24k剩余given&gt;&gt;kids</t>
  </si>
  <si>
    <t>PHP 965k</t>
  </si>
  <si>
    <t>JayHu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</si>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</sst>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&quot;$&quot;#,##0"/>
    <numFmt numFmtId="167" formatCode="0.000"/>
    <numFmt numFmtId="168" formatCode="[$USD]\ #,##0"/>
    <numFmt numFmtId="169" formatCode="[$SGD]\ #,##0"/>
    <numFmt numFmtId="170" formatCode="[$SGD]\ #,##0.00"/>
  </numFmts>
  <fonts count="14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10"/>
      <name val="SimSun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1536301767021"/>
      <name val="Arial"/>
      <charset val="134"/>
    </font>
    <font>
      <sz val="7"/>
      <name val="Arial"/>
      <charset val="134"/>
    </font>
    <font>
      <sz val="9"/>
      <name val="Tahoma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6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7" fillId="0" borderId="5" xfId="0" applyFont="1" applyBorder="1" applyAlignment="1">
      <alignment vertical="center" wrapText="1"/>
    </xf>
    <xf numFmtId="3" fontId="0" fillId="0" borderId="6" xfId="0" applyNumberFormat="1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8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6" fontId="0" fillId="0" borderId="1" xfId="0" applyNumberFormat="1" applyBorder="1"/>
    <xf numFmtId="3" fontId="0" fillId="0" borderId="2" xfId="0" applyNumberFormat="1" applyBorder="1"/>
    <xf numFmtId="166" fontId="0" fillId="0" borderId="2" xfId="0" applyNumberFormat="1" applyBorder="1"/>
    <xf numFmtId="0" fontId="0" fillId="0" borderId="6" xfId="0" applyFont="1" applyFill="1" applyBorder="1"/>
    <xf numFmtId="166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6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9" fillId="0" borderId="1" xfId="0" applyNumberFormat="1" applyFont="1" applyBorder="1"/>
    <xf numFmtId="166" fontId="10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Font="1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6" fontId="0" fillId="0" borderId="6" xfId="0" applyNumberFormat="1" applyFont="1" applyBorder="1"/>
    <xf numFmtId="166" fontId="3" fillId="2" borderId="4" xfId="0" applyNumberFormat="1" applyFont="1" applyFill="1" applyBorder="1"/>
    <xf numFmtId="0" fontId="11" fillId="0" borderId="0" xfId="0" applyFont="1"/>
    <xf numFmtId="168" fontId="0" fillId="0" borderId="0" xfId="0" applyNumberFormat="1"/>
    <xf numFmtId="166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10" fillId="0" borderId="2" xfId="0" applyNumberFormat="1" applyFont="1" applyFill="1" applyBorder="1"/>
    <xf numFmtId="0" fontId="0" fillId="0" borderId="7" xfId="0" applyFill="1" applyBorder="1"/>
    <xf numFmtId="166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6" fontId="2" fillId="0" borderId="0" xfId="0" applyNumberFormat="1" applyFont="1"/>
    <xf numFmtId="169" fontId="0" fillId="0" borderId="0" xfId="0" applyNumberFormat="1" applyFont="1" applyAlignment="1">
      <alignment horizontal="left"/>
    </xf>
    <xf numFmtId="170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168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7" fontId="1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workbookViewId="0">
      <selection activeCell="L57" sqref="L57"/>
    </sheetView>
  </sheetViews>
  <sheetFormatPr defaultColWidth="9" defaultRowHeight="12.75"/>
  <cols>
    <col min="1" max="1" width="0.85546875" customWidth="1"/>
    <col min="2" max="2" width="2.7109375" customWidth="1"/>
    <col min="3" max="3" width="5.28515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.28515625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00" t="s">
        <v>2</v>
      </c>
      <c r="H2" s="101"/>
      <c r="I2" s="7"/>
      <c r="J2" s="7"/>
      <c r="K2" s="100" t="s">
        <v>3</v>
      </c>
      <c r="L2" s="101"/>
      <c r="M2" s="10"/>
      <c r="N2" s="10"/>
      <c r="O2" s="100" t="s">
        <v>4</v>
      </c>
      <c r="P2" s="101"/>
      <c r="Q2" s="10"/>
      <c r="R2" s="100" t="s">
        <v>5</v>
      </c>
      <c r="S2" s="101"/>
      <c r="T2" s="10"/>
      <c r="U2" s="102" t="s">
        <v>6</v>
      </c>
      <c r="V2" s="103"/>
      <c r="W2" s="10"/>
      <c r="X2" s="100">
        <v>42401</v>
      </c>
      <c r="Y2" s="101"/>
      <c r="Z2" s="10"/>
      <c r="AA2" s="100" t="s">
        <v>7</v>
      </c>
      <c r="AB2" s="101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/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11" t="s">
        <v>13</v>
      </c>
      <c r="Y3" s="12" t="s">
        <v>12</v>
      </c>
      <c r="Z3" s="12"/>
      <c r="AA3" s="11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47"/>
      <c r="L4" s="14">
        <v>2500</v>
      </c>
      <c r="M4" s="16"/>
      <c r="N4" s="14"/>
      <c r="O4" s="47"/>
      <c r="P4" s="14">
        <v>2500</v>
      </c>
      <c r="Q4" s="14"/>
      <c r="R4" s="47"/>
      <c r="S4" s="14">
        <v>2500</v>
      </c>
      <c r="T4" s="14"/>
      <c r="U4" s="47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6000</v>
      </c>
      <c r="I5" s="15"/>
      <c r="J5" s="13"/>
      <c r="K5" s="47"/>
      <c r="L5" s="14">
        <v>9800</v>
      </c>
      <c r="M5" s="14"/>
      <c r="N5" s="14"/>
      <c r="O5" s="47"/>
      <c r="P5" s="14">
        <v>13400</v>
      </c>
      <c r="Q5" s="14"/>
      <c r="R5" s="47"/>
      <c r="S5" s="14">
        <v>1300</v>
      </c>
      <c r="T5" s="14"/>
      <c r="U5" s="47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09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15"/>
      <c r="J6" s="13"/>
      <c r="K6" s="47"/>
      <c r="L6" s="14">
        <f>1000*(4+2+5+3+7+10+3+5+2+3+1)</f>
        <v>45000</v>
      </c>
      <c r="M6" s="14"/>
      <c r="N6" s="14"/>
      <c r="O6" s="47"/>
      <c r="P6" s="14">
        <v>32000</v>
      </c>
      <c r="Q6" s="14"/>
      <c r="R6" s="47"/>
      <c r="S6" s="14">
        <v>0</v>
      </c>
      <c r="T6" s="14"/>
      <c r="U6" s="47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10"/>
      <c r="D7" s="15" t="s">
        <v>19</v>
      </c>
      <c r="E7" s="13" t="s">
        <v>24</v>
      </c>
      <c r="F7" s="13" t="s">
        <v>18</v>
      </c>
      <c r="G7" s="13"/>
      <c r="H7" s="13">
        <v>271</v>
      </c>
      <c r="I7" s="15"/>
      <c r="K7" s="47"/>
      <c r="L7" s="14">
        <v>238</v>
      </c>
      <c r="M7" s="14"/>
      <c r="N7" s="14"/>
      <c r="O7" s="47"/>
      <c r="P7" s="17" t="s">
        <v>25</v>
      </c>
      <c r="Q7" s="14"/>
      <c r="R7" s="47"/>
      <c r="S7" s="14">
        <v>564</v>
      </c>
      <c r="T7" s="14"/>
      <c r="U7" s="47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10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15"/>
      <c r="J8" s="13"/>
      <c r="K8" s="47"/>
      <c r="L8" s="14">
        <v>1500</v>
      </c>
      <c r="M8" s="14"/>
      <c r="N8" s="14"/>
      <c r="O8" s="47"/>
      <c r="P8" s="14">
        <v>1500</v>
      </c>
      <c r="Q8" s="14"/>
      <c r="R8" s="47"/>
      <c r="S8" s="14">
        <v>1642</v>
      </c>
      <c r="T8" s="14"/>
      <c r="U8" s="47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10"/>
      <c r="D9" s="15" t="s">
        <v>19</v>
      </c>
      <c r="E9" s="15" t="s">
        <v>27</v>
      </c>
      <c r="F9" s="13" t="s">
        <v>18</v>
      </c>
      <c r="G9" s="13"/>
      <c r="H9" s="13">
        <v>3788</v>
      </c>
      <c r="I9" s="15"/>
      <c r="J9" s="13"/>
      <c r="K9" s="47"/>
      <c r="L9" s="14">
        <v>1500</v>
      </c>
      <c r="M9" s="14"/>
      <c r="N9" s="48"/>
      <c r="O9" s="49"/>
      <c r="P9" s="48">
        <v>1500</v>
      </c>
      <c r="Q9" s="48"/>
      <c r="R9" s="49"/>
      <c r="S9" s="48">
        <v>2031</v>
      </c>
      <c r="T9" s="48"/>
      <c r="U9" s="47"/>
      <c r="V9" s="14">
        <v>107000</v>
      </c>
      <c r="W9" s="48"/>
      <c r="X9" s="13"/>
      <c r="Y9" s="14">
        <v>120000</v>
      </c>
      <c r="Z9" s="48"/>
      <c r="AA9" s="13"/>
      <c r="AB9" s="14">
        <v>270000</v>
      </c>
    </row>
    <row r="10" spans="2:28">
      <c r="B10" s="13" t="s">
        <v>21</v>
      </c>
      <c r="C10" s="110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47"/>
      <c r="L10" s="14">
        <f>6800+3700*7</f>
        <v>32700</v>
      </c>
      <c r="M10" s="27"/>
      <c r="N10" s="50" t="s">
        <v>29</v>
      </c>
      <c r="O10" s="51"/>
      <c r="P10" s="52">
        <f>14300+2000</f>
        <v>16300</v>
      </c>
      <c r="Q10" s="52"/>
      <c r="R10" s="51"/>
      <c r="S10" s="72">
        <v>57781</v>
      </c>
      <c r="T10" s="52"/>
      <c r="U10" s="86"/>
      <c r="V10" s="63"/>
      <c r="W10" s="52"/>
      <c r="X10" s="60"/>
      <c r="Y10" s="60"/>
      <c r="Z10" s="52"/>
      <c r="AA10" s="60"/>
      <c r="AB10" s="60"/>
    </row>
    <row r="11" spans="2:28" ht="11.25" customHeight="1">
      <c r="B11" s="13" t="s">
        <v>21</v>
      </c>
      <c r="C11" s="110"/>
      <c r="D11" s="13" t="s">
        <v>19</v>
      </c>
      <c r="E11" s="13" t="s">
        <v>30</v>
      </c>
      <c r="F11" s="13" t="s">
        <v>18</v>
      </c>
      <c r="G11" s="13"/>
      <c r="H11" s="13">
        <v>370</v>
      </c>
      <c r="I11" s="15"/>
      <c r="J11" s="13"/>
      <c r="K11" s="47"/>
      <c r="L11" s="14">
        <v>45</v>
      </c>
      <c r="M11" s="27"/>
      <c r="N11" s="53" t="s">
        <v>31</v>
      </c>
      <c r="O11" s="54"/>
      <c r="P11" s="55" t="s">
        <v>32</v>
      </c>
      <c r="Q11" s="55"/>
      <c r="R11" s="54"/>
      <c r="S11" s="55">
        <v>-46000</v>
      </c>
      <c r="T11" s="55"/>
      <c r="U11" s="51"/>
      <c r="V11" s="72">
        <v>-36000</v>
      </c>
      <c r="W11" s="55"/>
      <c r="X11" s="60"/>
      <c r="Y11" s="60"/>
      <c r="Z11" s="55"/>
      <c r="AA11" s="60"/>
      <c r="AB11" s="60"/>
    </row>
    <row r="12" spans="2:28" ht="14.25" customHeight="1">
      <c r="B12" s="13" t="s">
        <v>21</v>
      </c>
      <c r="C12" s="111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47"/>
      <c r="L12" s="14">
        <v>34004</v>
      </c>
      <c r="M12" s="27"/>
      <c r="N12" s="53" t="s">
        <v>35</v>
      </c>
      <c r="O12" s="54"/>
      <c r="P12" s="56">
        <v>5000</v>
      </c>
      <c r="Q12" s="55"/>
      <c r="R12" s="54"/>
      <c r="S12" s="56">
        <v>5000</v>
      </c>
      <c r="T12" s="55"/>
      <c r="U12" s="54"/>
      <c r="V12" s="56">
        <v>5000</v>
      </c>
      <c r="W12" s="55"/>
      <c r="X12" s="60"/>
      <c r="Y12" s="60"/>
      <c r="Z12" s="55"/>
      <c r="AA12" s="60"/>
      <c r="AB12" s="60"/>
    </row>
    <row r="13" spans="2:28">
      <c r="B13" s="13" t="s">
        <v>14</v>
      </c>
      <c r="C13" s="13" t="s">
        <v>36</v>
      </c>
      <c r="D13" s="112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47"/>
      <c r="L13" s="16">
        <f>P13</f>
        <v>20000</v>
      </c>
      <c r="M13" s="16"/>
      <c r="N13" s="14"/>
      <c r="O13" s="47"/>
      <c r="P13" s="57">
        <f>S13</f>
        <v>20000</v>
      </c>
      <c r="Q13" s="14"/>
      <c r="R13" s="47"/>
      <c r="S13" s="16">
        <f>Y13</f>
        <v>20000</v>
      </c>
      <c r="T13" s="14"/>
      <c r="U13" s="47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13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47"/>
      <c r="L14" s="16">
        <f>P14</f>
        <v>1800</v>
      </c>
      <c r="M14" s="16"/>
      <c r="N14" s="14"/>
      <c r="O14" s="47"/>
      <c r="P14" s="14">
        <f>300*6</f>
        <v>1800</v>
      </c>
      <c r="Q14" s="14"/>
      <c r="R14" s="47"/>
      <c r="S14" s="14">
        <f>200*6</f>
        <v>1200</v>
      </c>
      <c r="T14" s="14"/>
      <c r="U14" s="47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13"/>
      <c r="E15" s="13" t="s">
        <v>41</v>
      </c>
      <c r="F15" s="13" t="s">
        <v>18</v>
      </c>
      <c r="G15" s="13"/>
      <c r="H15" s="14">
        <v>5000</v>
      </c>
      <c r="I15" s="13"/>
      <c r="J15" s="13"/>
      <c r="K15" s="47"/>
      <c r="L15" s="14">
        <v>5000</v>
      </c>
      <c r="M15" s="16"/>
      <c r="N15" s="14"/>
      <c r="O15" s="47"/>
      <c r="P15" s="14">
        <v>5000</v>
      </c>
      <c r="Q15" s="14"/>
      <c r="R15" s="47"/>
      <c r="S15" s="14">
        <v>5000</v>
      </c>
      <c r="T15" s="14"/>
      <c r="U15" s="47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13"/>
      <c r="E16" s="13" t="s">
        <v>42</v>
      </c>
      <c r="F16" s="13" t="s">
        <v>18</v>
      </c>
      <c r="G16" s="13"/>
      <c r="H16" s="17" t="s">
        <v>43</v>
      </c>
      <c r="I16" s="15"/>
      <c r="J16" s="13"/>
      <c r="K16" s="47"/>
      <c r="L16" s="14">
        <v>90000</v>
      </c>
      <c r="M16" s="16"/>
      <c r="N16" s="14"/>
      <c r="O16" s="47"/>
      <c r="P16" s="14">
        <v>90000</v>
      </c>
      <c r="Q16" s="14"/>
      <c r="R16" s="47"/>
      <c r="S16" s="14">
        <v>90000</v>
      </c>
      <c r="T16" s="14"/>
      <c r="U16" s="47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7" t="s">
        <v>44</v>
      </c>
      <c r="C17" s="13" t="s">
        <v>15</v>
      </c>
      <c r="D17" s="113"/>
      <c r="E17" s="13" t="s">
        <v>45</v>
      </c>
      <c r="F17" s="13" t="s">
        <v>18</v>
      </c>
      <c r="G17" s="13"/>
      <c r="H17" s="16">
        <f t="shared" ref="H17" si="1">L17</f>
        <v>439000</v>
      </c>
      <c r="I17" s="13"/>
      <c r="J17" s="13"/>
      <c r="K17" s="47"/>
      <c r="L17" s="16">
        <f>P17</f>
        <v>439000</v>
      </c>
      <c r="M17" s="16"/>
      <c r="N17" s="14"/>
      <c r="O17" s="47"/>
      <c r="P17" s="14">
        <f>V17+169000</f>
        <v>439000</v>
      </c>
      <c r="Q17" s="14"/>
      <c r="R17" s="47"/>
      <c r="S17" s="14">
        <f>V17+169000*40%</f>
        <v>337600</v>
      </c>
      <c r="T17" s="14"/>
      <c r="U17" s="47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8"/>
      <c r="C18" s="13" t="s">
        <v>15</v>
      </c>
      <c r="D18" s="113"/>
      <c r="E18" s="13" t="s">
        <v>46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58"/>
      <c r="M18" s="58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13"/>
      <c r="E19" s="13" t="s">
        <v>47</v>
      </c>
      <c r="F19" s="13" t="s">
        <v>48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13"/>
      <c r="E20" s="15" t="s">
        <v>49</v>
      </c>
      <c r="F20" s="13" t="s">
        <v>50</v>
      </c>
      <c r="G20" s="14">
        <f>2700+83000</f>
        <v>85700</v>
      </c>
      <c r="H20" s="13"/>
      <c r="I20" s="13"/>
      <c r="J20" s="13"/>
      <c r="K20" s="14">
        <f>0+27000</f>
        <v>27000</v>
      </c>
      <c r="L20" s="14"/>
      <c r="M20" s="14"/>
      <c r="N20" s="14"/>
      <c r="O20" s="14">
        <f>1000+18000</f>
        <v>19000</v>
      </c>
      <c r="P20" s="14"/>
      <c r="Q20" s="14"/>
      <c r="R20" s="14">
        <f>37303+14272</f>
        <v>51575</v>
      </c>
      <c r="S20" s="14"/>
      <c r="T20" s="14"/>
      <c r="U20" s="14">
        <f>(35+13)*1000</f>
        <v>48000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/>
      <c r="C21" s="13"/>
      <c r="D21" s="113"/>
      <c r="E21" s="13" t="s">
        <v>51</v>
      </c>
      <c r="F21" s="13" t="s">
        <v>50</v>
      </c>
      <c r="G21" s="14">
        <v>15800</v>
      </c>
      <c r="H21" s="13"/>
      <c r="I21" s="13"/>
      <c r="J21" s="13"/>
      <c r="K21" s="14">
        <v>15000</v>
      </c>
      <c r="L21" s="14"/>
      <c r="M21" s="14"/>
      <c r="N21" s="14"/>
      <c r="O21" s="14">
        <v>15000</v>
      </c>
      <c r="P21" s="14"/>
      <c r="Q21" s="14"/>
      <c r="R21" s="14">
        <v>15932</v>
      </c>
      <c r="S21" s="14"/>
      <c r="T21" s="14"/>
      <c r="U21" s="14">
        <v>14000</v>
      </c>
      <c r="V21" s="14"/>
      <c r="W21" s="14"/>
      <c r="X21" s="14"/>
      <c r="Y21" s="14"/>
      <c r="Z21" s="14"/>
      <c r="AA21" s="14"/>
      <c r="AB21" s="13"/>
    </row>
    <row r="22" spans="2:28">
      <c r="B22" s="13" t="s">
        <v>21</v>
      </c>
      <c r="C22" s="13" t="s">
        <v>22</v>
      </c>
      <c r="D22" s="113"/>
      <c r="E22" s="13" t="s">
        <v>52</v>
      </c>
      <c r="F22" s="13" t="s">
        <v>18</v>
      </c>
      <c r="G22" s="14">
        <f>47000+242000+74000</f>
        <v>363000</v>
      </c>
      <c r="H22" s="13"/>
      <c r="I22" s="13"/>
      <c r="J22" s="13"/>
      <c r="K22" s="14">
        <f>24600+221400+71000</f>
        <v>317000</v>
      </c>
      <c r="L22" s="14"/>
      <c r="M22" s="14"/>
      <c r="N22" s="14"/>
      <c r="O22" s="14">
        <f>141000+205000+68000</f>
        <v>414000</v>
      </c>
      <c r="P22" s="14"/>
      <c r="Q22" s="14"/>
      <c r="R22" s="14">
        <f>24201+57247+54415</f>
        <v>135863</v>
      </c>
      <c r="S22" s="14"/>
      <c r="T22" s="14"/>
      <c r="U22" s="14">
        <f>17000+51797+50452</f>
        <v>119249</v>
      </c>
      <c r="V22" s="14"/>
      <c r="W22" s="14"/>
      <c r="X22" s="14">
        <f>142000+37403+40410</f>
        <v>219813</v>
      </c>
      <c r="Y22" s="14"/>
      <c r="Z22" s="14"/>
      <c r="AA22" s="14">
        <f>17700+15000+15000</f>
        <v>47700</v>
      </c>
      <c r="AB22" s="13" t="s">
        <v>53</v>
      </c>
    </row>
    <row r="23" spans="2:28">
      <c r="B23" s="13" t="s">
        <v>14</v>
      </c>
      <c r="C23" s="13" t="s">
        <v>36</v>
      </c>
      <c r="D23" s="113"/>
      <c r="E23" s="15" t="s">
        <v>54</v>
      </c>
      <c r="F23" s="13" t="s">
        <v>50</v>
      </c>
      <c r="G23" s="14">
        <v>14000</v>
      </c>
      <c r="H23" s="13"/>
      <c r="I23" s="13"/>
      <c r="J23" s="13"/>
      <c r="K23" s="16">
        <f>O23</f>
        <v>5000</v>
      </c>
      <c r="L23" s="14"/>
      <c r="M23" s="14"/>
      <c r="N23" s="48"/>
      <c r="O23" s="59">
        <f>R23</f>
        <v>5000</v>
      </c>
      <c r="P23" s="48"/>
      <c r="Q23" s="48"/>
      <c r="R23" s="59">
        <f>U23</f>
        <v>5000</v>
      </c>
      <c r="S23" s="48"/>
      <c r="T23" s="48"/>
      <c r="U23" s="48">
        <v>5000</v>
      </c>
      <c r="V23" s="48"/>
      <c r="W23" s="48"/>
      <c r="X23" s="87"/>
      <c r="Y23" s="14"/>
      <c r="Z23" s="48"/>
      <c r="AA23" s="14"/>
      <c r="AB23" s="13"/>
    </row>
    <row r="24" spans="2:28">
      <c r="B24" s="13" t="s">
        <v>21</v>
      </c>
      <c r="C24" s="13" t="s">
        <v>15</v>
      </c>
      <c r="D24" s="113"/>
      <c r="E24" s="18" t="s">
        <v>55</v>
      </c>
      <c r="F24" s="13" t="s">
        <v>18</v>
      </c>
      <c r="G24" s="14">
        <f>(300000-228000)+(50065*2)+(250774-190000)</f>
        <v>232904</v>
      </c>
      <c r="H24" s="13"/>
      <c r="I24" s="13"/>
      <c r="J24" s="60"/>
      <c r="K24" s="61">
        <v>50065</v>
      </c>
      <c r="L24" s="61"/>
      <c r="M24" s="62"/>
      <c r="N24" s="50" t="s">
        <v>56</v>
      </c>
      <c r="O24" s="52" t="s">
        <v>57</v>
      </c>
      <c r="P24" s="52"/>
      <c r="Q24" s="52"/>
      <c r="R24" s="52">
        <v>20000</v>
      </c>
      <c r="S24" s="52"/>
      <c r="T24" s="52"/>
      <c r="U24" s="52">
        <v>20000</v>
      </c>
      <c r="V24" s="52"/>
      <c r="W24" s="52"/>
      <c r="X24" s="72">
        <v>30000</v>
      </c>
      <c r="Y24" s="72"/>
      <c r="Z24" s="52"/>
      <c r="AA24" s="61"/>
      <c r="AB24" s="60"/>
    </row>
    <row r="25" spans="2:28">
      <c r="B25" s="13" t="s">
        <v>14</v>
      </c>
      <c r="C25" s="13" t="s">
        <v>15</v>
      </c>
      <c r="D25" s="114"/>
      <c r="E25" s="13" t="s">
        <v>58</v>
      </c>
      <c r="F25" s="13" t="s">
        <v>48</v>
      </c>
      <c r="G25" s="14">
        <f>15000*5</f>
        <v>75000</v>
      </c>
      <c r="H25" s="13"/>
      <c r="I25" s="13"/>
      <c r="J25" s="60"/>
      <c r="K25" s="61">
        <f>15000*4</f>
        <v>60000</v>
      </c>
      <c r="L25" s="63"/>
      <c r="M25" s="63"/>
      <c r="N25" s="64"/>
      <c r="O25" s="64">
        <f>15000*3</f>
        <v>45000</v>
      </c>
      <c r="P25" s="64"/>
      <c r="Q25" s="64"/>
      <c r="R25" s="88"/>
      <c r="S25" s="64"/>
      <c r="T25" s="64"/>
      <c r="U25" s="64"/>
      <c r="V25" s="64"/>
      <c r="W25" s="64"/>
      <c r="X25" s="64"/>
      <c r="Y25" s="63"/>
      <c r="Z25" s="64"/>
      <c r="AA25" s="63"/>
      <c r="AB25" s="60"/>
    </row>
    <row r="26" spans="2:28">
      <c r="B26" s="13" t="s">
        <v>14</v>
      </c>
      <c r="C26" s="15" t="s">
        <v>39</v>
      </c>
      <c r="D26" s="13" t="s">
        <v>16</v>
      </c>
      <c r="E26" s="15" t="s">
        <v>59</v>
      </c>
      <c r="F26" s="13" t="s">
        <v>18</v>
      </c>
      <c r="G26" s="16">
        <f>K26</f>
        <v>1200</v>
      </c>
      <c r="H26" s="13"/>
      <c r="I26" s="13"/>
      <c r="J26" s="60"/>
      <c r="K26" s="62">
        <v>1200</v>
      </c>
      <c r="L26" s="50" t="s">
        <v>60</v>
      </c>
      <c r="M26" s="52"/>
      <c r="N26" s="65"/>
      <c r="O26" s="52">
        <v>1000</v>
      </c>
      <c r="P26" s="52"/>
      <c r="Q26" s="52"/>
      <c r="R26" s="52">
        <v>92574</v>
      </c>
      <c r="S26" s="52"/>
      <c r="T26" s="52"/>
      <c r="U26" s="52">
        <v>102000</v>
      </c>
      <c r="V26" s="52"/>
      <c r="W26" s="52"/>
      <c r="X26" s="52">
        <v>55000</v>
      </c>
      <c r="Y26" s="97" t="s">
        <v>61</v>
      </c>
      <c r="Z26" s="52"/>
      <c r="AA26" s="72">
        <v>5000</v>
      </c>
      <c r="AB26" s="98"/>
    </row>
    <row r="27" spans="2:28">
      <c r="B27" s="13" t="s">
        <v>14</v>
      </c>
      <c r="C27" s="15" t="s">
        <v>22</v>
      </c>
      <c r="D27" s="13" t="s">
        <v>16</v>
      </c>
      <c r="E27" s="13" t="s">
        <v>62</v>
      </c>
      <c r="F27" s="13" t="s">
        <v>18</v>
      </c>
      <c r="G27" s="14">
        <v>23000</v>
      </c>
      <c r="H27" s="13"/>
      <c r="I27" s="13"/>
      <c r="J27" s="60"/>
      <c r="K27" s="61">
        <v>36000</v>
      </c>
      <c r="L27" s="66"/>
      <c r="M27" s="66"/>
      <c r="N27" s="66"/>
      <c r="O27" s="66">
        <v>40000</v>
      </c>
      <c r="P27" s="66"/>
      <c r="Q27" s="66"/>
      <c r="R27" s="66">
        <v>27907</v>
      </c>
      <c r="S27" s="66"/>
      <c r="T27" s="66"/>
      <c r="U27" s="66">
        <v>6000</v>
      </c>
      <c r="V27" s="66"/>
      <c r="W27" s="66"/>
      <c r="X27" s="66">
        <v>155000</v>
      </c>
      <c r="Y27" s="66"/>
      <c r="Z27" s="66"/>
      <c r="AA27" s="66"/>
      <c r="AB27" s="60"/>
    </row>
    <row r="28" spans="2:28">
      <c r="B28" s="13" t="s">
        <v>21</v>
      </c>
      <c r="C28" s="13" t="s">
        <v>22</v>
      </c>
      <c r="D28" s="13" t="s">
        <v>19</v>
      </c>
      <c r="E28" s="13" t="s">
        <v>63</v>
      </c>
      <c r="F28" s="13" t="s">
        <v>18</v>
      </c>
      <c r="G28" s="14">
        <v>2000</v>
      </c>
      <c r="H28" s="13"/>
      <c r="I28" s="13"/>
      <c r="J28" s="60"/>
      <c r="K28" s="61">
        <v>1000</v>
      </c>
      <c r="L28" s="61"/>
      <c r="M28" s="61"/>
      <c r="N28" s="61"/>
      <c r="O28" s="61">
        <v>2000</v>
      </c>
      <c r="P28" s="61"/>
      <c r="Q28" s="61"/>
      <c r="R28" s="61">
        <v>28176</v>
      </c>
      <c r="S28" s="61"/>
      <c r="T28" s="61"/>
      <c r="U28" s="61">
        <v>20000</v>
      </c>
      <c r="V28" s="61"/>
      <c r="W28" s="61"/>
      <c r="X28" s="61"/>
      <c r="Y28" s="61"/>
      <c r="Z28" s="61"/>
      <c r="AA28" s="61"/>
      <c r="AB28" s="60"/>
    </row>
    <row r="29" spans="2:28" ht="3" customHeight="1">
      <c r="B29" s="13"/>
      <c r="C29" s="13"/>
      <c r="D29" s="13"/>
      <c r="E29" s="19"/>
      <c r="F29" s="20"/>
      <c r="G29" s="21"/>
      <c r="H29" s="20"/>
      <c r="I29" s="20"/>
      <c r="J29" s="67"/>
      <c r="K29" s="63"/>
      <c r="L29" s="63"/>
      <c r="M29" s="63"/>
      <c r="N29" s="63"/>
      <c r="O29" s="63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0"/>
    </row>
    <row r="30" spans="2:28">
      <c r="B30" s="13" t="s">
        <v>21</v>
      </c>
      <c r="C30" s="109" t="s">
        <v>22</v>
      </c>
      <c r="D30" s="22" t="s">
        <v>19</v>
      </c>
      <c r="E30" s="23" t="s">
        <v>64</v>
      </c>
      <c r="F30" s="24" t="s">
        <v>65</v>
      </c>
      <c r="G30" s="25">
        <v>2300</v>
      </c>
      <c r="H30" s="20"/>
      <c r="I30" s="68"/>
      <c r="J30" s="69" t="s">
        <v>66</v>
      </c>
      <c r="K30" s="70">
        <v>-201000</v>
      </c>
      <c r="L30" s="70"/>
      <c r="M30" s="70"/>
      <c r="N30" s="70"/>
      <c r="O30" s="71">
        <f>-140000</f>
        <v>-140000</v>
      </c>
      <c r="P30" s="72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0"/>
    </row>
    <row r="31" spans="2:28">
      <c r="B31" s="13" t="s">
        <v>21</v>
      </c>
      <c r="C31" s="110"/>
      <c r="D31" s="22" t="s">
        <v>19</v>
      </c>
      <c r="E31" s="26" t="s">
        <v>67</v>
      </c>
      <c r="F31" s="24" t="s">
        <v>68</v>
      </c>
      <c r="G31" s="25">
        <f>745+1055+4000</f>
        <v>5800</v>
      </c>
      <c r="H31" s="20"/>
      <c r="I31" s="73"/>
      <c r="J31" s="74" t="s">
        <v>69</v>
      </c>
      <c r="K31" s="70">
        <v>285000</v>
      </c>
      <c r="L31" s="70"/>
      <c r="M31" s="70"/>
      <c r="N31" s="70"/>
      <c r="O31" s="71">
        <f>176000</f>
        <v>176000</v>
      </c>
      <c r="P31" s="71"/>
      <c r="Q31" s="63"/>
      <c r="R31" s="89"/>
      <c r="S31" s="61"/>
      <c r="T31" s="63"/>
      <c r="U31" s="61"/>
      <c r="V31" s="61"/>
      <c r="W31" s="63"/>
      <c r="X31" s="61"/>
      <c r="Y31" s="61"/>
      <c r="Z31" s="63"/>
      <c r="AA31" s="61"/>
      <c r="AB31" s="60"/>
    </row>
    <row r="32" spans="2:28">
      <c r="B32" s="13" t="s">
        <v>21</v>
      </c>
      <c r="C32" s="110"/>
      <c r="D32" s="22" t="s">
        <v>19</v>
      </c>
      <c r="E32" s="23" t="s">
        <v>70</v>
      </c>
      <c r="F32" s="15" t="s">
        <v>50</v>
      </c>
      <c r="G32" s="27">
        <f>6000+100000</f>
        <v>106000</v>
      </c>
      <c r="H32" s="28"/>
      <c r="I32" s="50" t="s">
        <v>71</v>
      </c>
      <c r="J32" s="75"/>
      <c r="K32" s="52">
        <v>10000</v>
      </c>
      <c r="L32" s="52"/>
      <c r="M32" s="52"/>
      <c r="N32" s="52"/>
      <c r="O32" s="52">
        <v>9000</v>
      </c>
      <c r="P32" s="52"/>
      <c r="Q32" s="52"/>
      <c r="R32" s="72">
        <v>20000</v>
      </c>
      <c r="S32" s="72"/>
      <c r="T32" s="52"/>
      <c r="U32" s="61"/>
      <c r="V32" s="61"/>
      <c r="W32" s="52"/>
      <c r="X32" s="61"/>
      <c r="Y32" s="61"/>
      <c r="Z32" s="52"/>
      <c r="AA32" s="61"/>
      <c r="AB32" s="60"/>
    </row>
    <row r="33" spans="2:28" ht="12.75" customHeight="1">
      <c r="B33" s="13" t="s">
        <v>21</v>
      </c>
      <c r="C33" s="111"/>
      <c r="D33" s="29" t="s">
        <v>72</v>
      </c>
      <c r="E33" s="30" t="s">
        <v>73</v>
      </c>
      <c r="F33" s="20" t="s">
        <v>18</v>
      </c>
      <c r="G33" s="21">
        <v>324000</v>
      </c>
      <c r="H33" s="31" t="s">
        <v>74</v>
      </c>
      <c r="I33" s="76"/>
      <c r="J33" s="77"/>
      <c r="K33" s="66">
        <v>385000</v>
      </c>
      <c r="L33" s="66"/>
      <c r="M33" s="66"/>
      <c r="N33" s="66"/>
      <c r="O33" s="66">
        <v>598000</v>
      </c>
      <c r="P33" s="66"/>
      <c r="Q33" s="66"/>
      <c r="R33" s="66">
        <f>27564</f>
        <v>27564</v>
      </c>
      <c r="S33" s="61"/>
      <c r="T33" s="66"/>
      <c r="U33" s="61">
        <v>20000</v>
      </c>
      <c r="V33" s="61"/>
      <c r="W33" s="66"/>
      <c r="X33" s="61">
        <v>20000</v>
      </c>
      <c r="Y33" s="61"/>
      <c r="Z33" s="66"/>
      <c r="AA33" s="61">
        <v>5000</v>
      </c>
      <c r="AB33" s="60"/>
    </row>
    <row r="34" spans="2:28">
      <c r="B34" s="13" t="s">
        <v>21</v>
      </c>
      <c r="C34" s="13" t="s">
        <v>36</v>
      </c>
      <c r="D34" s="13" t="s">
        <v>75</v>
      </c>
      <c r="E34" s="19" t="s">
        <v>76</v>
      </c>
      <c r="F34" s="20" t="s">
        <v>18</v>
      </c>
      <c r="G34" s="21">
        <v>-4000</v>
      </c>
      <c r="H34" s="20"/>
      <c r="I34" s="20"/>
      <c r="J34" s="78"/>
      <c r="K34" s="61">
        <v>-600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0"/>
    </row>
    <row r="35" spans="2:28" ht="3" customHeight="1">
      <c r="B35" s="13"/>
      <c r="C35" s="13"/>
      <c r="D35" s="13"/>
      <c r="E35" s="19"/>
      <c r="F35" s="20"/>
      <c r="G35" s="21"/>
      <c r="H35" s="20"/>
      <c r="I35" s="20"/>
      <c r="J35" s="78"/>
      <c r="K35" s="61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1"/>
      <c r="Z35" s="63"/>
      <c r="AA35" s="61"/>
      <c r="AB35" s="60"/>
    </row>
    <row r="36" spans="2:28">
      <c r="B36" s="13" t="s">
        <v>21</v>
      </c>
      <c r="C36" s="15" t="s">
        <v>77</v>
      </c>
      <c r="D36" s="13" t="s">
        <v>16</v>
      </c>
      <c r="E36" s="15" t="s">
        <v>78</v>
      </c>
      <c r="F36" s="13" t="s">
        <v>48</v>
      </c>
      <c r="G36" s="14">
        <v>13000</v>
      </c>
      <c r="H36" s="13"/>
      <c r="I36" s="13"/>
      <c r="J36" s="60"/>
      <c r="K36" s="62">
        <v>1600</v>
      </c>
      <c r="L36" s="50" t="s">
        <v>31</v>
      </c>
      <c r="M36" s="52"/>
      <c r="N36" s="65"/>
      <c r="O36" s="79" t="s">
        <v>79</v>
      </c>
      <c r="P36" s="70"/>
      <c r="Q36" s="70"/>
      <c r="R36" s="70">
        <v>-30000</v>
      </c>
      <c r="S36" s="70"/>
      <c r="T36" s="70"/>
      <c r="U36" s="70">
        <v>-40000</v>
      </c>
      <c r="V36" s="70"/>
      <c r="W36" s="70"/>
      <c r="X36" s="72">
        <v>-30000</v>
      </c>
      <c r="Y36" s="72"/>
      <c r="Z36" s="70"/>
      <c r="AA36" s="61"/>
      <c r="AB36" s="60"/>
    </row>
    <row r="37" spans="2:28">
      <c r="B37" s="13" t="s">
        <v>14</v>
      </c>
      <c r="C37" s="13" t="s">
        <v>36</v>
      </c>
      <c r="D37" s="13" t="s">
        <v>16</v>
      </c>
      <c r="E37" s="23" t="s">
        <v>80</v>
      </c>
      <c r="F37" s="13" t="s">
        <v>18</v>
      </c>
      <c r="G37" s="14">
        <v>23000</v>
      </c>
      <c r="H37" s="13"/>
      <c r="I37" s="13"/>
      <c r="J37" s="60"/>
      <c r="K37" s="61">
        <v>20000</v>
      </c>
      <c r="L37" s="66"/>
      <c r="M37" s="66"/>
      <c r="N37" s="80"/>
      <c r="O37" s="81">
        <v>16000</v>
      </c>
      <c r="P37" s="82" t="s">
        <v>81</v>
      </c>
      <c r="Q37" s="90"/>
      <c r="R37" s="91"/>
      <c r="S37" s="72">
        <v>20000</v>
      </c>
      <c r="T37" s="90"/>
      <c r="U37" s="51"/>
      <c r="V37" s="72">
        <v>20000</v>
      </c>
      <c r="W37" s="90"/>
      <c r="X37" s="92"/>
      <c r="Y37" s="60"/>
      <c r="Z37" s="90"/>
      <c r="AA37" s="60"/>
      <c r="AB37" s="60"/>
    </row>
    <row r="38" spans="2:28">
      <c r="B38" s="32" t="s">
        <v>82</v>
      </c>
      <c r="C38" s="33"/>
      <c r="D38" s="33"/>
      <c r="E38" s="34"/>
      <c r="F38" s="33"/>
      <c r="G38" s="11" t="str">
        <f>G3</f>
        <v>in S$</v>
      </c>
      <c r="H38" s="11" t="str">
        <f>H3</f>
        <v>in USD</v>
      </c>
      <c r="I38" s="11">
        <f>I3</f>
        <v>0</v>
      </c>
      <c r="J38" s="11"/>
      <c r="K38" s="11" t="str">
        <f>K3</f>
        <v>in S$</v>
      </c>
      <c r="L38" s="11" t="str">
        <f>L3</f>
        <v>in USD</v>
      </c>
      <c r="M38" s="11">
        <f>M3</f>
        <v>0</v>
      </c>
      <c r="N38" s="11"/>
      <c r="O38" s="11" t="str">
        <f t="shared" ref="O38:AB38" si="2">O3</f>
        <v>in S$</v>
      </c>
      <c r="P38" s="83" t="str">
        <f t="shared" si="2"/>
        <v>in USD</v>
      </c>
      <c r="Q38" s="83">
        <f t="shared" si="2"/>
        <v>0</v>
      </c>
      <c r="R38" s="83" t="str">
        <f t="shared" si="2"/>
        <v>in S$</v>
      </c>
      <c r="S38" s="83" t="str">
        <f t="shared" si="2"/>
        <v>in USD</v>
      </c>
      <c r="T38" s="83">
        <f t="shared" ref="T38" si="3">T3</f>
        <v>0</v>
      </c>
      <c r="U38" s="83" t="str">
        <f t="shared" si="2"/>
        <v>in S$</v>
      </c>
      <c r="V38" s="83" t="str">
        <f t="shared" si="2"/>
        <v>in USD</v>
      </c>
      <c r="W38" s="83">
        <f t="shared" si="2"/>
        <v>0</v>
      </c>
      <c r="X38" s="11" t="str">
        <f t="shared" si="2"/>
        <v>in S$</v>
      </c>
      <c r="Y38" s="11" t="str">
        <f t="shared" si="2"/>
        <v>in USD</v>
      </c>
      <c r="Z38" s="83">
        <f t="shared" ref="Z38" si="4">Z3</f>
        <v>0</v>
      </c>
      <c r="AA38" s="11" t="str">
        <f t="shared" si="2"/>
        <v>in S$</v>
      </c>
      <c r="AB38" s="11" t="str">
        <f t="shared" si="2"/>
        <v>in USD</v>
      </c>
    </row>
    <row r="39" spans="2:28">
      <c r="C39" s="104">
        <f>ABS(G39-G40)+ABS(H39-H40)+ABS(K39-K40)+ABS(L39-L40)+ABS(K43-K44)+ABS(O39-O40)+ABS(P39-P40)+ABS(O43-O44)+ABS(R39-R40)+ABS(S39-S40)+ABS(R43-R44)+ABS(U39-U40)+ABS(V39-V40)+ABS(U43-U44)</f>
        <v>0</v>
      </c>
      <c r="D39" s="104"/>
      <c r="E39" s="35" t="s">
        <v>83</v>
      </c>
      <c r="G39" s="6">
        <f>SUM(G4:G37)</f>
        <v>2232704</v>
      </c>
      <c r="H39" s="6">
        <f>SUM(H4:H37)</f>
        <v>727829</v>
      </c>
      <c r="I39" s="84"/>
      <c r="K39" s="6">
        <f>SUM(K4:K37)</f>
        <v>1962265</v>
      </c>
      <c r="L39" s="6">
        <f>SUM(L4:L37)</f>
        <v>683087</v>
      </c>
      <c r="M39" s="85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2:28">
      <c r="D40" s="35"/>
      <c r="E40" s="36" t="s">
        <v>84</v>
      </c>
      <c r="G40" s="6">
        <v>2232704</v>
      </c>
      <c r="H40" s="6">
        <v>727829</v>
      </c>
      <c r="K40" s="6">
        <v>1962265</v>
      </c>
      <c r="L40" s="6">
        <v>683087</v>
      </c>
      <c r="M40" s="85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2:28">
      <c r="E41" s="37" t="s">
        <v>85</v>
      </c>
      <c r="F41" s="115">
        <v>1.347</v>
      </c>
      <c r="H41" s="38"/>
      <c r="I41" s="38"/>
      <c r="J41" s="38"/>
      <c r="L41" s="5" t="s">
        <v>86</v>
      </c>
      <c r="M41" s="5"/>
      <c r="P41" s="5" t="s">
        <v>87</v>
      </c>
      <c r="S41" s="85"/>
      <c r="U41" s="6"/>
      <c r="V41"/>
    </row>
    <row r="42" spans="2:28" s="4" customFormat="1">
      <c r="D42" s="39"/>
      <c r="E42" s="40" t="s">
        <v>88</v>
      </c>
      <c r="G42" s="105">
        <f>G43/$F$41</f>
        <v>2385367.233110616</v>
      </c>
      <c r="H42" s="105"/>
      <c r="J42" s="6"/>
      <c r="K42" s="105"/>
      <c r="L42" s="105"/>
      <c r="M42" s="41"/>
      <c r="N42" s="6"/>
      <c r="O42" s="105"/>
      <c r="P42" s="105"/>
      <c r="Q42" s="93"/>
      <c r="R42" s="94"/>
      <c r="S42" s="93"/>
      <c r="T42" s="93"/>
      <c r="U42" s="94"/>
      <c r="V42" s="93"/>
      <c r="W42" s="93"/>
      <c r="Z42" s="93"/>
    </row>
    <row r="43" spans="2:28">
      <c r="D43" s="35"/>
      <c r="E43" s="35" t="s">
        <v>89</v>
      </c>
      <c r="G43" s="106">
        <f>H39*$F$41+G39</f>
        <v>3213089.6629999997</v>
      </c>
      <c r="H43" s="106"/>
      <c r="K43" s="106">
        <f>ROUND(L39*1.3439+K39,0)</f>
        <v>2880266</v>
      </c>
      <c r="L43" s="106"/>
      <c r="M43" s="42"/>
      <c r="O43" s="106">
        <f>ROUND(P39*1.3465+O39,0)</f>
        <v>2580602</v>
      </c>
      <c r="P43" s="106"/>
      <c r="R43" s="106">
        <f>ROUND(S39*1.37+R39,0)</f>
        <v>1877698</v>
      </c>
      <c r="S43" s="106"/>
      <c r="U43" s="106">
        <f>V39*1.37+U39</f>
        <v>1789659</v>
      </c>
      <c r="V43" s="106"/>
      <c r="X43" s="106">
        <f>Y39*1.36+X39</f>
        <v>1320000.2</v>
      </c>
      <c r="Y43" s="106"/>
      <c r="AA43" s="106">
        <f>AB39*1.4+AA39</f>
        <v>1011128</v>
      </c>
      <c r="AB43" s="106"/>
    </row>
    <row r="44" spans="2:28">
      <c r="D44" s="35"/>
      <c r="E44" s="36" t="s">
        <v>90</v>
      </c>
      <c r="G44" s="106"/>
      <c r="H44" s="106"/>
      <c r="K44" s="106">
        <v>2880266</v>
      </c>
      <c r="L44" s="106"/>
      <c r="M44" s="42"/>
      <c r="O44" s="106">
        <v>2580602</v>
      </c>
      <c r="P44" s="106"/>
      <c r="R44" s="106">
        <v>1877698</v>
      </c>
      <c r="S44" s="106"/>
      <c r="U44" s="106">
        <v>1789659</v>
      </c>
      <c r="V44" s="106"/>
      <c r="X44" s="106">
        <v>1320000</v>
      </c>
      <c r="Y44" s="106"/>
      <c r="AA44" s="106">
        <v>1011128</v>
      </c>
      <c r="AB44" s="106"/>
    </row>
    <row r="45" spans="2:28">
      <c r="D45" s="35"/>
      <c r="E45" s="36"/>
      <c r="G45" s="42"/>
      <c r="H45" s="42"/>
      <c r="K45" s="42"/>
      <c r="L45" s="42"/>
      <c r="M45" s="42"/>
      <c r="O45" s="42"/>
      <c r="P45" s="42"/>
      <c r="R45" s="42"/>
      <c r="S45" s="42"/>
      <c r="U45" s="42"/>
      <c r="V45" s="42"/>
      <c r="X45" s="42"/>
      <c r="Y45" s="42"/>
      <c r="AA45" s="42"/>
      <c r="AB45" s="42"/>
    </row>
    <row r="46" spans="2:28">
      <c r="B46" s="43" t="s">
        <v>91</v>
      </c>
      <c r="C46" s="44"/>
      <c r="D46" s="44"/>
      <c r="E46" s="44"/>
      <c r="F46" s="44"/>
      <c r="G46" s="44"/>
      <c r="H46" s="44"/>
      <c r="I46" s="44"/>
      <c r="J46" s="44"/>
      <c r="M46" s="42"/>
      <c r="O46" s="3"/>
      <c r="P46" s="6">
        <f>G43-K43</f>
        <v>332823.66299999971</v>
      </c>
      <c r="R46" s="95" t="s">
        <v>92</v>
      </c>
      <c r="S46" s="42"/>
      <c r="U46" s="42"/>
      <c r="V46" s="42"/>
      <c r="X46" s="42"/>
      <c r="Y46" s="42"/>
      <c r="AA46" s="42"/>
      <c r="AB46" s="42"/>
    </row>
    <row r="47" spans="2:28">
      <c r="B47" s="99" t="s">
        <v>93</v>
      </c>
      <c r="K47" s="45"/>
      <c r="L47" s="45"/>
      <c r="M47" s="45"/>
      <c r="N47" s="45"/>
      <c r="O47" s="45"/>
      <c r="Q47" s="45"/>
      <c r="R47" s="45"/>
      <c r="S47" s="45"/>
      <c r="T47" s="45"/>
      <c r="U47" s="45"/>
      <c r="V47" s="45"/>
      <c r="W47" s="45"/>
      <c r="Z47" s="45"/>
    </row>
    <row r="48" spans="2:28">
      <c r="B48" s="43" t="s">
        <v>94</v>
      </c>
      <c r="C48" s="44"/>
      <c r="D48" s="44"/>
      <c r="E48" s="44"/>
      <c r="F48" s="44"/>
      <c r="G48" s="44"/>
      <c r="H48" s="44"/>
      <c r="I48" s="44"/>
      <c r="J48" s="44"/>
      <c r="K48" s="45"/>
      <c r="L48" s="45"/>
      <c r="M48" s="45"/>
      <c r="N48" s="45"/>
      <c r="O48" s="45"/>
      <c r="Q48" s="45"/>
      <c r="R48" s="45"/>
      <c r="S48" s="45"/>
      <c r="T48" s="45"/>
      <c r="U48" s="45"/>
      <c r="V48" s="45"/>
      <c r="W48" s="45"/>
      <c r="Z48" s="45"/>
    </row>
    <row r="49" spans="2:28">
      <c r="B49" s="43" t="s">
        <v>95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Q49" s="45"/>
      <c r="R49" s="45"/>
      <c r="S49" s="45"/>
      <c r="T49" s="45"/>
      <c r="U49" s="45"/>
      <c r="V49" s="45"/>
      <c r="W49" s="45"/>
      <c r="Z49" s="45"/>
    </row>
    <row r="50" spans="2:28">
      <c r="B50" s="43" t="s">
        <v>96</v>
      </c>
      <c r="C50" s="45"/>
      <c r="D50" s="45"/>
      <c r="E50" s="45"/>
      <c r="F50" s="45"/>
      <c r="G50" s="45"/>
      <c r="H50" s="45"/>
      <c r="I50" s="45"/>
      <c r="J50" s="45"/>
      <c r="K50" s="44"/>
      <c r="L50" s="44"/>
      <c r="M50" s="44"/>
      <c r="N50" s="44"/>
      <c r="O50" s="44"/>
      <c r="P50" s="45"/>
      <c r="Q50" s="44"/>
      <c r="R50" s="44"/>
      <c r="S50" s="44"/>
      <c r="T50" s="44"/>
      <c r="U50" s="44"/>
      <c r="V50" s="44"/>
      <c r="W50" s="44"/>
      <c r="Z50" s="44"/>
    </row>
    <row r="51" spans="2:28">
      <c r="B51" s="99" t="s">
        <v>97</v>
      </c>
      <c r="D51" s="35"/>
      <c r="M51" s="42"/>
      <c r="O51" s="42"/>
      <c r="P51" s="42"/>
      <c r="U51" s="42"/>
      <c r="V51" s="42"/>
      <c r="X51" s="42"/>
      <c r="Y51" s="42"/>
      <c r="AA51" s="42"/>
      <c r="AB51" s="42"/>
    </row>
    <row r="52" spans="2:28">
      <c r="B52" t="s">
        <v>98</v>
      </c>
      <c r="D52" s="35"/>
      <c r="E52" s="35"/>
      <c r="N52" s="5"/>
      <c r="Q52" s="5"/>
      <c r="T52" s="5"/>
      <c r="V52" s="5"/>
      <c r="W52" s="5"/>
      <c r="Z52" s="5"/>
    </row>
    <row r="53" spans="2:28">
      <c r="B53" s="1" t="s">
        <v>99</v>
      </c>
      <c r="N53" s="5"/>
      <c r="Q53" s="5"/>
      <c r="T53" s="5"/>
      <c r="V53" s="5"/>
      <c r="W53" s="5"/>
      <c r="Z53" s="5"/>
    </row>
    <row r="54" spans="2:28" ht="12.75" customHeight="1">
      <c r="B54" s="43"/>
      <c r="C54" s="45"/>
      <c r="D54" s="45"/>
      <c r="E54" s="45"/>
      <c r="F54" s="45"/>
      <c r="G54" s="45"/>
      <c r="H54" s="45"/>
      <c r="I54" s="45"/>
      <c r="J54" s="45"/>
      <c r="K54" s="44"/>
      <c r="L54" s="44"/>
      <c r="M54" s="44"/>
      <c r="N54" s="44"/>
      <c r="O54" s="44"/>
      <c r="P54" s="44"/>
      <c r="Q54" s="44"/>
      <c r="R54" s="96"/>
      <c r="S54" s="44"/>
      <c r="T54" s="44"/>
      <c r="U54" s="44"/>
      <c r="V54" s="44"/>
      <c r="W54" s="44"/>
      <c r="Z54" s="44"/>
    </row>
    <row r="55" spans="2:28">
      <c r="B55" s="46"/>
    </row>
    <row r="56" spans="2:28">
      <c r="B56" s="46"/>
    </row>
    <row r="57" spans="2:28">
      <c r="B57" s="46"/>
    </row>
    <row r="58" spans="2:28">
      <c r="B58" s="46"/>
    </row>
    <row r="59" spans="2:28">
      <c r="B59" s="46"/>
    </row>
  </sheetData>
  <mergeCells count="29">
    <mergeCell ref="B17:B18"/>
    <mergeCell ref="C6:C12"/>
    <mergeCell ref="C30:C33"/>
    <mergeCell ref="D13:D25"/>
    <mergeCell ref="X43:Y43"/>
    <mergeCell ref="AA43:AB43"/>
    <mergeCell ref="G44:H44"/>
    <mergeCell ref="K44:L44"/>
    <mergeCell ref="O44:P44"/>
    <mergeCell ref="R44:S44"/>
    <mergeCell ref="U44:V44"/>
    <mergeCell ref="X44:Y44"/>
    <mergeCell ref="AA44:AB44"/>
    <mergeCell ref="G43:H43"/>
    <mergeCell ref="K43:L43"/>
    <mergeCell ref="O43:P43"/>
    <mergeCell ref="R43:S43"/>
    <mergeCell ref="U43:V43"/>
    <mergeCell ref="X2:Y2"/>
    <mergeCell ref="AA2:AB2"/>
    <mergeCell ref="C39:D39"/>
    <mergeCell ref="G42:H42"/>
    <mergeCell ref="K42:L42"/>
    <mergeCell ref="O42:P42"/>
    <mergeCell ref="G2:H2"/>
    <mergeCell ref="K2:L2"/>
    <mergeCell ref="O2:P2"/>
    <mergeCell ref="R2:S2"/>
    <mergeCell ref="U2:V2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36" sqref="G36"/>
    </sheetView>
  </sheetViews>
  <sheetFormatPr defaultColWidth="9" defaultRowHeight="12.75"/>
  <cols>
    <col min="5" max="5" width="10.140625" customWidth="1"/>
  </cols>
  <sheetData>
    <row r="2" spans="3:5">
      <c r="C2" t="s">
        <v>100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2025-01-30T07:48:00Z</cp:lastPrinted>
  <dcterms:created xsi:type="dcterms:W3CDTF">2024-06-01T15:58:00Z</dcterms:created>
  <dcterms:modified xsi:type="dcterms:W3CDTF">2025-02-28T03:58:18Z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