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6B79350-C3C3-412E-BAF0-B7DABBBDAF01}" xr6:coauthVersionLast="41" xr6:coauthVersionMax="47" xr10:uidLastSave="{00000000-0000-0000-0000-000000000000}"/>
  <bookViews>
    <workbookView xWindow="810" yWindow="-120" windowWidth="28110" windowHeight="16440" firstSheet="1" activeTab="1" xr2:uid="{D4D1A54F-01AE-4300-8644-B16194D9355C}"/>
  </bookViews>
  <sheets>
    <sheet name="Fli2pm 200k" sheetId="6" state="hidden" r:id="rId1"/>
    <sheet name="FWD" sheetId="8" r:id="rId2"/>
    <sheet name="overlap ptf" sheetId="4" r:id="rId3"/>
    <sheet name="FLI2" sheetId="1" r:id="rId4"/>
    <sheet name="FLI2PF" sheetId="5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8" l="1"/>
  <c r="E28" i="8"/>
  <c r="D8" i="8"/>
  <c r="I5" i="8"/>
  <c r="D12" i="5" l="1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11" i="5"/>
  <c r="H5" i="5"/>
  <c r="J3" i="5" l="1"/>
  <c r="J5" i="5"/>
  <c r="K7" i="4" l="1"/>
  <c r="K5" i="5" l="1"/>
  <c r="J5" i="8"/>
  <c r="D4" i="8"/>
  <c r="D9" i="8" l="1"/>
  <c r="G5" i="8"/>
  <c r="K4" i="8" l="1"/>
  <c r="K3" i="8"/>
  <c r="K5" i="8"/>
  <c r="D16" i="8"/>
  <c r="D24" i="8"/>
  <c r="D17" i="8"/>
  <c r="D25" i="8"/>
  <c r="D18" i="8"/>
  <c r="D26" i="8"/>
  <c r="D11" i="8"/>
  <c r="D21" i="8"/>
  <c r="D14" i="8"/>
  <c r="D22" i="8"/>
  <c r="D15" i="8"/>
  <c r="B15" i="8" s="1"/>
  <c r="D19" i="8"/>
  <c r="D27" i="8"/>
  <c r="D12" i="8"/>
  <c r="D20" i="8"/>
  <c r="D13" i="8"/>
  <c r="D23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B9" i="8" s="1"/>
  <c r="A11" i="8"/>
  <c r="B28" i="8"/>
  <c r="A21" i="8"/>
  <c r="A12" i="8"/>
  <c r="A13" i="8"/>
  <c r="A26" i="8"/>
  <c r="A16" i="8"/>
  <c r="A20" i="8"/>
  <c r="A22" i="8"/>
  <c r="A17" i="8"/>
  <c r="A14" i="8"/>
  <c r="A15" i="8"/>
  <c r="A27" i="8"/>
  <c r="A28" i="8"/>
  <c r="A18" i="8"/>
  <c r="A24" i="8"/>
  <c r="A19" i="8"/>
  <c r="A23" i="8"/>
  <c r="A25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5" i="6"/>
  <c r="G31" i="4"/>
  <c r="D31" i="4" s="1"/>
  <c r="A10" i="6" l="1"/>
  <c r="B6" i="4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B11" i="5" l="1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C27" i="3"/>
  <c r="F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  <c r="A10" i="1" l="1"/>
</calcChain>
</file>

<file path=xl/sharedStrings.xml><?xml version="1.0" encoding="utf-8"?>
<sst xmlns="http://schemas.openxmlformats.org/spreadsheetml/2006/main" count="112" uniqueCount="80">
  <si>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</si>
  <si>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</si>
  <si>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</si>
  <si>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</si>
  <si>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</si>
  <si>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</si>
  <si>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</si>
  <si>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</si>
  <si>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</si>
  <si>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</si>
  <si>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</si>
  <si>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</si>
  <si>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</si>
  <si>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</si>
  <si>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</si>
  <si>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</si>
  <si>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</si>
  <si>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</si>
  <si>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</si>
  <si>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</si>
  <si>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</si>
  <si>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</si>
  <si>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</si>
  <si>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</si>
  <si>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</si>
  <si>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</si>
  <si>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</si>
  <si>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</si>
  <si>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</si>
  <si>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</si>
  <si>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</si>
  <si>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</si>
  <si>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</si>
  <si>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</si>
  <si>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</si>
  <si>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</si>
  <si>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</si>
  <si>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</si>
  <si>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</si>
  <si>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</si>
  <si>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</si>
  <si>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</si>
  <si>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</si>
  <si>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</si>
  <si>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</si>
  <si>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</si>
  <si>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</si>
  <si>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</si>
  <si>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</si>
  <si>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</si>
  <si>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</si>
  <si>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</si>
  <si>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</si>
  <si>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</si>
  <si>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</si>
  <si>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</si>
  <si>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</si>
  <si>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</si>
  <si>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36M int cost</t>
  </si>
  <si>
    <t>total prem - FWD</t>
  </si>
  <si>
    <t>FWD DYOC</t>
  </si>
  <si>
    <t>FWD xirr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</si>
  <si>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</si>
  <si>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</si>
  <si>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</si>
  <si>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</si>
  <si>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</si>
  <si>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</si>
  <si>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</si>
  <si>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</si>
  <si>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</si>
  <si>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</si>
  <si>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</si>
  <si>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</si>
  <si>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</si>
  <si>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</si>
  <si>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</si>
  <si>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</si>
  <si>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>surrender FWD #xxx to wipe out loan</t>
  </si>
  <si>
    <t xml:space="preserve">final 1Y+  LIR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</si>
</sst>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65" fontId="0" fillId="0" borderId="6" xfId="0" applyNumberFormat="1" applyBorder="1"/>
    <xf numFmtId="0" fontId="0" fillId="0" borderId="6" xfId="0" applyNumberFormat="1" applyBorder="1"/>
    <xf numFmtId="1" fontId="0" fillId="0" borderId="6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1"/>
  <sheetViews>
    <sheetView tabSelected="1" workbookViewId="0">
      <selection activeCell="H23" sqref="H23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6.140625" bestFit="1" customWidth="1"/>
    <col min="10" max="10" width="7.140625" bestFit="1" customWidth="1"/>
    <col min="11" max="11" width="6" style="20" bestFit="1" customWidth="1"/>
  </cols>
  <sheetData>
    <row r="2" spans="1:11" x14ac:dyDescent="0.25">
      <c r="C2" s="15"/>
      <c r="D2" s="12" t="s">
        <v>2</v>
      </c>
    </row>
    <row r="3" spans="1:11" x14ac:dyDescent="0.25">
      <c r="A3" s="5"/>
      <c r="B3" s="2"/>
      <c r="C3" s="13">
        <v>45536</v>
      </c>
      <c r="D3" s="14">
        <v>-77000</v>
      </c>
      <c r="E3" t="s">
        <v>55</v>
      </c>
      <c r="F3" s="12" t="s">
        <v>59</v>
      </c>
      <c r="G3" s="63">
        <v>317000</v>
      </c>
      <c r="I3">
        <v>0.75</v>
      </c>
      <c r="J3" s="2">
        <v>2.53E-2</v>
      </c>
      <c r="K3" s="20">
        <f>$G$5*I3*J3</f>
        <v>4554</v>
      </c>
    </row>
    <row r="4" spans="1:11" x14ac:dyDescent="0.25">
      <c r="A4" s="5"/>
      <c r="B4" s="2"/>
      <c r="C4" s="13">
        <v>45597</v>
      </c>
      <c r="D4" s="64">
        <f>G7*G3</f>
        <v>4342.9000000000005</v>
      </c>
      <c r="E4" t="s">
        <v>56</v>
      </c>
      <c r="F4" s="12" t="s">
        <v>79</v>
      </c>
      <c r="G4" s="16">
        <v>0.03</v>
      </c>
      <c r="I4">
        <v>1</v>
      </c>
      <c r="J4" s="2">
        <v>2.3300000000000001E-2</v>
      </c>
      <c r="K4" s="20">
        <f>$G$5*I4*J4</f>
        <v>5592</v>
      </c>
    </row>
    <row r="5" spans="1:11" x14ac:dyDescent="0.25">
      <c r="A5" s="5"/>
      <c r="B5" s="2"/>
      <c r="C5" s="13"/>
      <c r="D5" s="12"/>
      <c r="F5" s="12" t="s">
        <v>21</v>
      </c>
      <c r="G5" s="63">
        <f>G3+D3</f>
        <v>240000</v>
      </c>
      <c r="I5">
        <f>3-I4-I3</f>
        <v>1.25</v>
      </c>
      <c r="J5" s="2">
        <f>G4</f>
        <v>0.03</v>
      </c>
      <c r="K5" s="20">
        <f>$G$5*I5*J5</f>
        <v>9000</v>
      </c>
    </row>
    <row r="6" spans="1:11" x14ac:dyDescent="0.25">
      <c r="A6" s="5"/>
      <c r="B6" s="2"/>
      <c r="C6" s="13">
        <v>46082</v>
      </c>
      <c r="D6" s="65">
        <f>-K6</f>
        <v>-19146</v>
      </c>
      <c r="E6" t="s">
        <v>58</v>
      </c>
      <c r="F6" s="12" t="s">
        <v>19</v>
      </c>
      <c r="G6" s="16">
        <v>0.02</v>
      </c>
      <c r="J6" s="11"/>
      <c r="K6" s="20">
        <f>SUM(K3:K5)</f>
        <v>19146</v>
      </c>
    </row>
    <row r="7" spans="1:11" x14ac:dyDescent="0.25">
      <c r="A7" s="52" t="s">
        <v>68</v>
      </c>
      <c r="B7" s="53"/>
      <c r="C7" s="13"/>
      <c r="D7" s="12"/>
      <c r="F7" s="12" t="s">
        <v>22</v>
      </c>
      <c r="G7" s="16">
        <v>1.37E-2</v>
      </c>
    </row>
    <row r="8" spans="1:11" x14ac:dyDescent="0.25">
      <c r="A8" s="31" t="s">
        <v>66</v>
      </c>
      <c r="B8" s="46" t="s">
        <v>65</v>
      </c>
      <c r="C8" s="13">
        <v>46722</v>
      </c>
      <c r="D8" s="65">
        <f>3.38%*$G$3</f>
        <v>10714.599999999999</v>
      </c>
      <c r="E8" t="s">
        <v>57</v>
      </c>
      <c r="F8" s="17"/>
      <c r="G8" s="17"/>
    </row>
    <row r="9" spans="1:11" x14ac:dyDescent="0.25">
      <c r="A9" s="5">
        <f>SUM($D$3:D9)</f>
        <v>-81088.5</v>
      </c>
      <c r="B9" s="5">
        <f>A9-D3</f>
        <v>-4088.5</v>
      </c>
      <c r="C9" s="13">
        <v>46722</v>
      </c>
      <c r="D9" s="65">
        <f>-$D$3*0</f>
        <v>0</v>
      </c>
      <c r="E9" s="6" t="s">
        <v>78</v>
      </c>
    </row>
    <row r="10" spans="1:11" x14ac:dyDescent="0.25">
      <c r="A10" s="5"/>
      <c r="C10" s="13"/>
      <c r="D10" s="65"/>
      <c r="E10" s="6"/>
    </row>
    <row r="11" spans="1:11" x14ac:dyDescent="0.25">
      <c r="A11" s="5">
        <f>SUM($D$3:D11)</f>
        <v>-75173.899999999994</v>
      </c>
      <c r="B11" s="2"/>
      <c r="C11" s="13">
        <v>47088</v>
      </c>
      <c r="D11" s="65">
        <f>3.38%*$G$3-$G$6*$G$5</f>
        <v>5914.5999999999985</v>
      </c>
      <c r="F11" s="8"/>
      <c r="G11" s="8"/>
    </row>
    <row r="12" spans="1:11" x14ac:dyDescent="0.25">
      <c r="A12" s="5">
        <f>SUM($D$3:D12)</f>
        <v>-69259.299999999988</v>
      </c>
      <c r="B12" s="2"/>
      <c r="C12" s="13">
        <v>47453</v>
      </c>
      <c r="D12" s="65">
        <f>3.38%*$G$3-$G$6*$G$5</f>
        <v>5914.5999999999985</v>
      </c>
      <c r="F12" s="8"/>
      <c r="G12" s="8"/>
      <c r="H12" s="8"/>
      <c r="I12" s="8"/>
    </row>
    <row r="13" spans="1:11" x14ac:dyDescent="0.25">
      <c r="A13" s="5">
        <f>SUM($D$3:D13)</f>
        <v>-63344.69999999999</v>
      </c>
      <c r="B13" s="2"/>
      <c r="C13" s="13">
        <v>47818</v>
      </c>
      <c r="D13" s="65">
        <f>3.38%*$G$3-$G$6*$G$5</f>
        <v>5914.5999999999985</v>
      </c>
      <c r="H13" s="8"/>
      <c r="I13" s="8"/>
    </row>
    <row r="14" spans="1:11" x14ac:dyDescent="0.25">
      <c r="A14" s="5">
        <f>SUM($D$3:D14)</f>
        <v>-57430.099999999991</v>
      </c>
      <c r="B14" s="8" t="s">
        <v>60</v>
      </c>
      <c r="C14" s="13">
        <v>48183</v>
      </c>
      <c r="D14" s="65">
        <f>3.38%*$G$3-$G$6*$G$5</f>
        <v>5914.5999999999985</v>
      </c>
      <c r="H14" s="8"/>
      <c r="I14" s="8"/>
    </row>
    <row r="15" spans="1:11" x14ac:dyDescent="0.25">
      <c r="A15" s="5">
        <f>SUM($D$3:D15)</f>
        <v>-51515.499999999993</v>
      </c>
      <c r="B15" s="30">
        <f>-D15/D3</f>
        <v>7.6812987012987E-2</v>
      </c>
      <c r="C15" s="13">
        <v>48549</v>
      </c>
      <c r="D15" s="65">
        <f>3.38%*$G$3-$G$6*$G$5</f>
        <v>5914.5999999999985</v>
      </c>
    </row>
    <row r="16" spans="1:11" x14ac:dyDescent="0.25">
      <c r="A16" s="5">
        <f>SUM($D$3:D16)</f>
        <v>-45600.899999999994</v>
      </c>
      <c r="B16" s="2"/>
      <c r="C16" s="13">
        <v>48914</v>
      </c>
      <c r="D16" s="65">
        <f>3.38%*$G$3-$G$6*$G$5</f>
        <v>5914.5999999999985</v>
      </c>
    </row>
    <row r="17" spans="1:7" x14ac:dyDescent="0.25">
      <c r="A17" s="5">
        <f>SUM($D$3:D17)</f>
        <v>-39686.299999999996</v>
      </c>
      <c r="B17" s="2"/>
      <c r="C17" s="13">
        <v>49279</v>
      </c>
      <c r="D17" s="65">
        <f>3.38%*$G$3-$G$6*$G$5</f>
        <v>5914.5999999999985</v>
      </c>
    </row>
    <row r="18" spans="1:7" x14ac:dyDescent="0.25">
      <c r="A18" s="5">
        <f>SUM($D$3:D18)</f>
        <v>-33771.699999999997</v>
      </c>
      <c r="B18" s="2"/>
      <c r="C18" s="13">
        <v>49644</v>
      </c>
      <c r="D18" s="65">
        <f>3.38%*$G$3-$G$6*$G$5</f>
        <v>5914.5999999999985</v>
      </c>
    </row>
    <row r="19" spans="1:7" x14ac:dyDescent="0.25">
      <c r="A19" s="5">
        <f>SUM($D$3:D19)</f>
        <v>-27857.1</v>
      </c>
      <c r="B19" s="2"/>
      <c r="C19" s="13">
        <v>50010</v>
      </c>
      <c r="D19" s="65">
        <f>3.38%*$G$3-$G$6*$G$5</f>
        <v>5914.5999999999985</v>
      </c>
    </row>
    <row r="20" spans="1:7" x14ac:dyDescent="0.25">
      <c r="A20" s="5">
        <f>SUM($D$3:D20)</f>
        <v>-21942.5</v>
      </c>
      <c r="B20" s="2"/>
      <c r="C20" s="13">
        <v>50375</v>
      </c>
      <c r="D20" s="65">
        <f>3.38%*$G$3-$G$6*$G$5</f>
        <v>5914.5999999999985</v>
      </c>
    </row>
    <row r="21" spans="1:7" x14ac:dyDescent="0.25">
      <c r="A21" s="5">
        <f>SUM($D$3:D21)</f>
        <v>-16027.900000000001</v>
      </c>
      <c r="B21" s="2"/>
      <c r="C21" s="13">
        <v>50740</v>
      </c>
      <c r="D21" s="65">
        <f>3.38%*$G$3-$G$6*$G$5</f>
        <v>5914.5999999999985</v>
      </c>
    </row>
    <row r="22" spans="1:7" x14ac:dyDescent="0.25">
      <c r="A22" s="5">
        <f>SUM($D$3:D22)</f>
        <v>-10113.300000000003</v>
      </c>
      <c r="B22" s="2"/>
      <c r="C22" s="13">
        <v>51105</v>
      </c>
      <c r="D22" s="65">
        <f>3.38%*$G$3-$G$6*$G$5</f>
        <v>5914.5999999999985</v>
      </c>
    </row>
    <row r="23" spans="1:7" x14ac:dyDescent="0.25">
      <c r="A23" s="5">
        <f>SUM($D$3:D23)</f>
        <v>-4198.7000000000044</v>
      </c>
      <c r="B23" s="2"/>
      <c r="C23" s="13">
        <v>51471</v>
      </c>
      <c r="D23" s="65">
        <f>3.38%*$G$3-$G$6*$G$5</f>
        <v>5914.5999999999985</v>
      </c>
    </row>
    <row r="24" spans="1:7" x14ac:dyDescent="0.25">
      <c r="A24" s="5">
        <f>SUM($D$3:D24)</f>
        <v>1715.8999999999942</v>
      </c>
      <c r="B24" s="2"/>
      <c r="C24" s="13">
        <v>51836</v>
      </c>
      <c r="D24" s="65">
        <f>3.38%*$G$3-$G$6*$G$5</f>
        <v>5914.5999999999985</v>
      </c>
    </row>
    <row r="25" spans="1:7" x14ac:dyDescent="0.25">
      <c r="A25" s="5">
        <f>SUM($D$3:D25)</f>
        <v>7630.4999999999927</v>
      </c>
      <c r="B25" s="2"/>
      <c r="C25" s="13">
        <v>52201</v>
      </c>
      <c r="D25" s="65">
        <f>3.38%*$G$3-$G$6*$G$5</f>
        <v>5914.5999999999985</v>
      </c>
    </row>
    <row r="26" spans="1:7" x14ac:dyDescent="0.25">
      <c r="A26" s="5">
        <f>SUM($D$3:D26)</f>
        <v>13545.099999999991</v>
      </c>
      <c r="B26" s="2"/>
      <c r="C26" s="13">
        <v>52566</v>
      </c>
      <c r="D26" s="65">
        <f>3.38%*$G$3-$G$6*$G$5</f>
        <v>5914.5999999999985</v>
      </c>
    </row>
    <row r="27" spans="1:7" x14ac:dyDescent="0.25">
      <c r="A27" s="5">
        <f>SUM($D$3:D27)</f>
        <v>19459.69999999999</v>
      </c>
      <c r="B27" s="2" t="s">
        <v>61</v>
      </c>
      <c r="C27" s="13">
        <v>52932</v>
      </c>
      <c r="D27" s="65">
        <f>3.38%*$G$3-$G$6*$G$5</f>
        <v>5914.5999999999985</v>
      </c>
      <c r="F27" s="6"/>
      <c r="G27" s="6"/>
    </row>
    <row r="28" spans="1:7" x14ac:dyDescent="0.25">
      <c r="A28" s="5">
        <f>SUM($D$3:D28)</f>
        <v>96459.699999999983</v>
      </c>
      <c r="B28" s="2">
        <f>XIRR(D3:D28,C3:C28)</f>
        <v>5.2494964003562933E-2</v>
      </c>
      <c r="C28" s="13">
        <v>53297</v>
      </c>
      <c r="D28" s="65">
        <f>-D3</f>
        <v>77000</v>
      </c>
      <c r="E28" s="6" t="str">
        <f>E9</f>
        <v>surrender FWD #xxx to wipe out loan</v>
      </c>
    </row>
    <row r="29" spans="1:7" x14ac:dyDescent="0.25">
      <c r="A29" s="5"/>
      <c r="B29" s="2"/>
    </row>
    <row r="31" spans="1:7" x14ac:dyDescent="0.25">
      <c r="A31" s="5"/>
      <c r="B31" s="2"/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f>150394.75*0</f>
        <v>0</v>
      </c>
    </row>
    <row r="8" spans="2:11" x14ac:dyDescent="0.25">
      <c r="B8" s="14">
        <f>SUM($D$6:D8)</f>
        <v>-56575</v>
      </c>
      <c r="C8" s="15">
        <v>45505</v>
      </c>
      <c r="D8" s="14">
        <f t="shared" si="0"/>
        <v>0</v>
      </c>
      <c r="E8" s="14"/>
      <c r="F8" s="14"/>
      <c r="G8" s="14">
        <f>-$K$7/5</f>
        <v>0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-56575</v>
      </c>
      <c r="C9" s="15">
        <v>45566</v>
      </c>
      <c r="D9" s="14">
        <f t="shared" si="0"/>
        <v>0</v>
      </c>
      <c r="E9" s="14"/>
      <c r="F9" s="14"/>
      <c r="G9" s="14">
        <f>-9%*G8</f>
        <v>0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-106640.66666666666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-106640.66666666666</v>
      </c>
      <c r="C11" s="15">
        <v>45870</v>
      </c>
      <c r="D11" s="14">
        <f t="shared" si="0"/>
        <v>0</v>
      </c>
      <c r="E11" s="14"/>
      <c r="F11" s="14"/>
      <c r="G11" s="14">
        <f>G8</f>
        <v>0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-106640.66666666666</v>
      </c>
      <c r="C12" s="15">
        <v>45870</v>
      </c>
      <c r="D12" s="14">
        <f t="shared" si="0"/>
        <v>0</v>
      </c>
      <c r="E12" s="14"/>
      <c r="F12" s="14"/>
      <c r="G12" s="14">
        <f>(0.0425-0.03)*K7</f>
        <v>0</v>
      </c>
      <c r="H12" s="12" t="s">
        <v>38</v>
      </c>
      <c r="I12" s="8"/>
    </row>
    <row r="13" spans="2:11" ht="30" x14ac:dyDescent="0.25">
      <c r="B13" s="14">
        <f>SUM($D$6:D13)</f>
        <v>-118850.66666666666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49</v>
      </c>
      <c r="I13" s="8"/>
      <c r="J13" s="25" t="s">
        <v>54</v>
      </c>
      <c r="K13" s="26">
        <f>B13</f>
        <v>-118850.66666666666</v>
      </c>
    </row>
    <row r="14" spans="2:11" x14ac:dyDescent="0.25">
      <c r="B14" s="14">
        <f>SUM($D$6:D14)</f>
        <v>-114377.80000666666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35819.199993333343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-118850.66666666666</v>
      </c>
    </row>
    <row r="16" spans="2:11" x14ac:dyDescent="0.25">
      <c r="B16" s="14">
        <f>SUM($D$6:D16)</f>
        <v>35819.199993333343</v>
      </c>
      <c r="C16" s="15">
        <v>46235</v>
      </c>
      <c r="D16" s="14">
        <f t="shared" si="0"/>
        <v>0</v>
      </c>
      <c r="E16" s="14"/>
      <c r="F16" s="14"/>
      <c r="G16" s="14">
        <f>G8</f>
        <v>0</v>
      </c>
      <c r="H16" s="12"/>
      <c r="I16" s="8"/>
    </row>
    <row r="17" spans="2:11" x14ac:dyDescent="0.25">
      <c r="B17" s="14">
        <f>SUM($D$6:D17)</f>
        <v>43844.199993333343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103844.19999333334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103844.19999333334</v>
      </c>
      <c r="C19" s="15">
        <v>46600</v>
      </c>
      <c r="D19" s="14">
        <f t="shared" si="0"/>
        <v>0</v>
      </c>
      <c r="E19" s="14"/>
      <c r="F19" s="14"/>
      <c r="G19" s="14">
        <f>G8</f>
        <v>0</v>
      </c>
      <c r="H19" s="12"/>
      <c r="I19" s="8"/>
    </row>
    <row r="20" spans="2:11" x14ac:dyDescent="0.25">
      <c r="B20" s="14">
        <f>SUM($D$6:D20)</f>
        <v>103844.19999333334</v>
      </c>
      <c r="C20" s="15">
        <v>46966</v>
      </c>
      <c r="D20" s="14">
        <f t="shared" si="0"/>
        <v>0</v>
      </c>
      <c r="E20" s="14"/>
      <c r="F20" s="14"/>
      <c r="G20" s="14">
        <f>G8</f>
        <v>0</v>
      </c>
      <c r="H20" s="12"/>
      <c r="I20" s="8"/>
    </row>
    <row r="21" spans="2:11" x14ac:dyDescent="0.25">
      <c r="B21" s="14">
        <f>SUM($D$6:D21)</f>
        <v>103844.19999333334</v>
      </c>
      <c r="C21" s="15">
        <v>47331</v>
      </c>
      <c r="D21" s="14">
        <f t="shared" si="0"/>
        <v>0</v>
      </c>
      <c r="E21" s="14"/>
      <c r="F21" s="14"/>
      <c r="G21" s="14">
        <f>3.391%*$K$7</f>
        <v>0</v>
      </c>
      <c r="H21" s="12" t="s">
        <v>8</v>
      </c>
      <c r="I21" s="8"/>
    </row>
    <row r="22" spans="2:11" x14ac:dyDescent="0.25">
      <c r="B22" s="14">
        <f>SUM($D$6:D22)</f>
        <v>103844.19999333334</v>
      </c>
      <c r="C22" s="15">
        <v>47331</v>
      </c>
      <c r="D22" s="14">
        <f t="shared" si="0"/>
        <v>0</v>
      </c>
      <c r="E22" s="14"/>
      <c r="F22" s="14"/>
      <c r="G22" s="14">
        <f>3%*K7</f>
        <v>0</v>
      </c>
      <c r="H22" s="12" t="s">
        <v>36</v>
      </c>
      <c r="I22" s="8"/>
    </row>
    <row r="23" spans="2:11" ht="15.75" thickBot="1" x14ac:dyDescent="0.3">
      <c r="B23" s="14">
        <f>SUM($D$6:D23)</f>
        <v>103844.19999333334</v>
      </c>
      <c r="C23" s="22">
        <v>47331</v>
      </c>
      <c r="D23" s="23">
        <f t="shared" si="0"/>
        <v>0</v>
      </c>
      <c r="E23" s="23"/>
      <c r="F23" s="23"/>
      <c r="G23" s="23">
        <f>K7</f>
        <v>0</v>
      </c>
      <c r="H23" s="12" t="s">
        <v>43</v>
      </c>
      <c r="I23" s="8"/>
    </row>
    <row r="24" spans="2:11" ht="15.75" thickTop="1" x14ac:dyDescent="0.25">
      <c r="B24" s="54" t="s">
        <v>47</v>
      </c>
      <c r="C24" s="55"/>
      <c r="D24" s="56"/>
      <c r="E24" s="21">
        <f>SUM(E3:E23)</f>
        <v>10601.86666</v>
      </c>
      <c r="F24" s="21">
        <f>SUM(F3:F23)</f>
        <v>-760</v>
      </c>
      <c r="G24" s="21">
        <f>SUM(G3:G23)</f>
        <v>-0.01</v>
      </c>
      <c r="H24" s="12"/>
      <c r="I24" s="8"/>
    </row>
    <row r="25" spans="2:11" x14ac:dyDescent="0.25">
      <c r="B25" s="57"/>
      <c r="C25" s="58"/>
      <c r="D25" s="59"/>
      <c r="E25" s="16">
        <f>XIRR(E3:E23,C3:C23)</f>
        <v>3.9722254872322102E-2</v>
      </c>
      <c r="F25" s="16" t="s">
        <v>50</v>
      </c>
      <c r="G25" s="16"/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103844.19999333334</v>
      </c>
      <c r="C27" s="15">
        <v>47696</v>
      </c>
      <c r="D27" s="14">
        <f t="shared" si="0"/>
        <v>0</v>
      </c>
      <c r="E27" s="14"/>
      <c r="F27" s="14"/>
      <c r="G27" s="14">
        <f>3.391%*$K$7</f>
        <v>0</v>
      </c>
      <c r="H27" s="60" t="s">
        <v>53</v>
      </c>
      <c r="I27" s="8"/>
    </row>
    <row r="28" spans="2:11" x14ac:dyDescent="0.25">
      <c r="B28" s="14">
        <f>SUM($D$6:D28)</f>
        <v>103844.19999333334</v>
      </c>
      <c r="C28" s="15">
        <v>48061</v>
      </c>
      <c r="D28" s="14">
        <f t="shared" si="0"/>
        <v>0</v>
      </c>
      <c r="E28" s="14"/>
      <c r="F28" s="14"/>
      <c r="G28" s="14">
        <f>3.391%*$K$7</f>
        <v>0</v>
      </c>
      <c r="H28" s="61"/>
      <c r="I28" s="8"/>
    </row>
    <row r="29" spans="2:11" x14ac:dyDescent="0.25">
      <c r="B29" s="14">
        <f>SUM($D$6:D29)</f>
        <v>103844.19999333334</v>
      </c>
      <c r="C29" s="15">
        <v>48427</v>
      </c>
      <c r="D29" s="14">
        <f t="shared" si="0"/>
        <v>0</v>
      </c>
      <c r="E29" s="14"/>
      <c r="F29" s="14"/>
      <c r="G29" s="14">
        <f>3.391%*$K$7</f>
        <v>0</v>
      </c>
      <c r="H29" s="61"/>
      <c r="I29" s="8"/>
    </row>
    <row r="30" spans="2:11" x14ac:dyDescent="0.25">
      <c r="B30" s="14">
        <f>SUM($D$6:D30)</f>
        <v>103844.19999333334</v>
      </c>
      <c r="C30" s="15">
        <v>48792</v>
      </c>
      <c r="D30" s="14">
        <f t="shared" si="0"/>
        <v>0</v>
      </c>
      <c r="E30" s="14"/>
      <c r="F30" s="14"/>
      <c r="G30" s="14">
        <f>3.391%*$K$7</f>
        <v>0</v>
      </c>
      <c r="H30" s="61"/>
      <c r="I30" s="8"/>
    </row>
    <row r="31" spans="2:11" x14ac:dyDescent="0.25">
      <c r="B31" s="14">
        <f>SUM($D$6:D31)</f>
        <v>103844.19999333334</v>
      </c>
      <c r="C31" s="15">
        <v>49157</v>
      </c>
      <c r="D31" s="14">
        <f t="shared" si="0"/>
        <v>0</v>
      </c>
      <c r="E31" s="14"/>
      <c r="F31" s="14"/>
      <c r="G31" s="14">
        <f>3.391%*$K$7</f>
        <v>0</v>
      </c>
      <c r="H31" s="61"/>
      <c r="I31" s="8"/>
    </row>
    <row r="32" spans="2:11" x14ac:dyDescent="0.25">
      <c r="B32" s="14">
        <f>SUM($D$6:D32)</f>
        <v>107119.19999333334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45</v>
      </c>
      <c r="H32" s="61"/>
      <c r="I32" s="8"/>
      <c r="J32" t="s">
        <v>46</v>
      </c>
      <c r="K32" s="2">
        <v>2.5000000000000001E-2</v>
      </c>
    </row>
    <row r="33" spans="2:11" x14ac:dyDescent="0.25">
      <c r="B33" s="14">
        <f>SUM($D$6:D33)</f>
        <v>110394.19999333334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61"/>
      <c r="I33" s="8"/>
      <c r="J33" t="s">
        <v>48</v>
      </c>
      <c r="K33" s="24">
        <f>-F32/F6</f>
        <v>5.4583333333333317E-2</v>
      </c>
    </row>
    <row r="34" spans="2:11" x14ac:dyDescent="0.25">
      <c r="B34" s="14">
        <f>SUM($D$6:D34)</f>
        <v>113669.19999333334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61"/>
      <c r="I34" s="8"/>
    </row>
    <row r="35" spans="2:11" x14ac:dyDescent="0.25">
      <c r="B35" s="14">
        <f>SUM($D$6:D35)</f>
        <v>116944.19999333334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61"/>
      <c r="I35" s="8"/>
    </row>
    <row r="36" spans="2:11" x14ac:dyDescent="0.25">
      <c r="B36" s="14">
        <f>SUM($D$6:D36)</f>
        <v>120219.19999333334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61"/>
      <c r="I36" s="8"/>
    </row>
    <row r="37" spans="2:11" x14ac:dyDescent="0.25">
      <c r="B37" s="14">
        <f>SUM($D$6:D37)</f>
        <v>123494.19999333334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61"/>
      <c r="I37" s="8"/>
    </row>
    <row r="38" spans="2:11" x14ac:dyDescent="0.25">
      <c r="B38" s="14">
        <f>SUM($D$6:D38)</f>
        <v>126769.19999333334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62"/>
      <c r="I38" s="8"/>
    </row>
    <row r="40" spans="2:11" x14ac:dyDescent="0.25">
      <c r="H40" t="s">
        <v>44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D3" sqref="D3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4" bestFit="1" customWidth="1"/>
    <col min="4" max="4" width="10.85546875" style="51" bestFit="1" customWidth="1"/>
    <col min="5" max="5" width="36.85546875" style="31" bestFit="1" customWidth="1"/>
    <col min="6" max="6" width="1.5703125" style="31" customWidth="1"/>
    <col min="7" max="7" width="17.7109375" style="31" bestFit="1" customWidth="1"/>
    <col min="8" max="16384" width="9.140625" style="31"/>
  </cols>
  <sheetData>
    <row r="2" spans="1:12" x14ac:dyDescent="0.25">
      <c r="C2" s="47"/>
      <c r="D2" s="50" t="s">
        <v>2</v>
      </c>
    </row>
    <row r="3" spans="1:12" x14ac:dyDescent="0.25">
      <c r="A3" s="32"/>
      <c r="B3" s="33"/>
      <c r="C3" s="48">
        <v>45597</v>
      </c>
      <c r="D3" s="50">
        <f>-24%*H6</f>
        <v>-76189.919999999998</v>
      </c>
      <c r="E3" s="31" t="s">
        <v>63</v>
      </c>
      <c r="I3" s="33"/>
      <c r="J3" s="31">
        <f>9/12</f>
        <v>0.75</v>
      </c>
      <c r="K3" s="33">
        <v>2.53E-2</v>
      </c>
      <c r="L3" s="35">
        <f>$H$9*J3*K3</f>
        <v>4578.0618180000001</v>
      </c>
    </row>
    <row r="4" spans="1:12" x14ac:dyDescent="0.25">
      <c r="A4" s="32"/>
      <c r="B4" s="33"/>
      <c r="C4" s="48">
        <v>45658</v>
      </c>
      <c r="D4" s="50">
        <f>H4*H6</f>
        <v>4349.1746000000003</v>
      </c>
      <c r="E4" s="31" t="s">
        <v>24</v>
      </c>
      <c r="G4" s="40" t="s">
        <v>22</v>
      </c>
      <c r="H4" s="42">
        <v>1.37E-2</v>
      </c>
      <c r="J4" s="31">
        <v>1</v>
      </c>
      <c r="K4" s="33">
        <v>2.3300000000000001E-2</v>
      </c>
      <c r="L4" s="35">
        <f t="shared" ref="L4:L5" si="0">$H$9*J4*K4</f>
        <v>5621.5462640000005</v>
      </c>
    </row>
    <row r="5" spans="1:12" x14ac:dyDescent="0.25">
      <c r="A5" s="32"/>
      <c r="B5" s="33"/>
      <c r="C5" s="48"/>
      <c r="D5" s="50"/>
      <c r="G5" s="43" t="s">
        <v>71</v>
      </c>
      <c r="H5" s="44">
        <f>D9/H6</f>
        <v>3.2760239149745796E-2</v>
      </c>
      <c r="J5" s="31">
        <f>6/12</f>
        <v>0.5</v>
      </c>
      <c r="K5" s="33">
        <f>H8</f>
        <v>0.03</v>
      </c>
      <c r="L5" s="35">
        <f t="shared" si="0"/>
        <v>3619.0212000000001</v>
      </c>
    </row>
    <row r="6" spans="1:12" x14ac:dyDescent="0.25">
      <c r="A6" s="32"/>
      <c r="B6" s="33"/>
      <c r="C6" s="48">
        <v>46023</v>
      </c>
      <c r="D6" s="50">
        <f>-SUM(L3:L5)</f>
        <v>-13818.629282000002</v>
      </c>
      <c r="E6" s="31" t="s">
        <v>75</v>
      </c>
      <c r="G6" s="40" t="s">
        <v>76</v>
      </c>
      <c r="H6" s="41">
        <v>317458</v>
      </c>
      <c r="K6" s="36"/>
      <c r="L6" s="35"/>
    </row>
    <row r="7" spans="1:12" x14ac:dyDescent="0.25">
      <c r="A7" s="52" t="s">
        <v>68</v>
      </c>
      <c r="B7" s="53"/>
      <c r="C7" s="48"/>
      <c r="D7" s="50"/>
      <c r="G7" s="40"/>
      <c r="H7" s="41"/>
    </row>
    <row r="8" spans="1:12" x14ac:dyDescent="0.25">
      <c r="A8" s="46" t="s">
        <v>65</v>
      </c>
      <c r="B8" s="31" t="s">
        <v>66</v>
      </c>
      <c r="C8" s="48"/>
      <c r="D8" s="50"/>
      <c r="G8" s="40" t="s">
        <v>73</v>
      </c>
      <c r="H8" s="42">
        <v>0.03</v>
      </c>
    </row>
    <row r="9" spans="1:12" x14ac:dyDescent="0.25">
      <c r="A9" s="32">
        <f>B9-D3</f>
        <v>930.54531800000404</v>
      </c>
      <c r="B9" s="32">
        <f>SUM($D$3:D9)</f>
        <v>-75259.374681999994</v>
      </c>
      <c r="C9" s="48">
        <v>46447</v>
      </c>
      <c r="D9" s="50">
        <v>10400</v>
      </c>
      <c r="E9" s="31" t="s">
        <v>77</v>
      </c>
      <c r="G9" s="40" t="s">
        <v>21</v>
      </c>
      <c r="H9" s="41">
        <f>H6+D3</f>
        <v>241268.08000000002</v>
      </c>
    </row>
    <row r="10" spans="1:12" x14ac:dyDescent="0.25">
      <c r="A10" s="32"/>
      <c r="B10" s="49" t="s">
        <v>70</v>
      </c>
      <c r="C10" s="48"/>
      <c r="D10" s="50"/>
      <c r="E10" s="37"/>
      <c r="F10" s="37"/>
      <c r="G10" s="40" t="s">
        <v>19</v>
      </c>
      <c r="H10" s="42">
        <v>0.02</v>
      </c>
    </row>
    <row r="11" spans="1:12" x14ac:dyDescent="0.25">
      <c r="A11" s="32"/>
      <c r="B11" s="39">
        <f>-D11/$D$3</f>
        <v>7.316766312394081E-2</v>
      </c>
      <c r="C11" s="48">
        <v>46813</v>
      </c>
      <c r="D11" s="50">
        <f>10400-$H$10*$H$9</f>
        <v>5574.6383999999998</v>
      </c>
      <c r="I11" s="38"/>
      <c r="J11" s="38"/>
    </row>
    <row r="12" spans="1:12" x14ac:dyDescent="0.25">
      <c r="A12" s="32"/>
      <c r="B12" s="39">
        <f>-D12/$D$3</f>
        <v>7.316766312394081E-2</v>
      </c>
      <c r="C12" s="48">
        <v>47178</v>
      </c>
      <c r="D12" s="50">
        <f t="shared" ref="D12:D27" si="1">10400-$H$10*$H$9</f>
        <v>5574.6383999999998</v>
      </c>
      <c r="G12" s="38"/>
      <c r="H12" s="38"/>
      <c r="I12" s="38"/>
      <c r="J12" s="38"/>
    </row>
    <row r="13" spans="1:12" x14ac:dyDescent="0.25">
      <c r="A13" s="32"/>
      <c r="B13" s="39">
        <f>-D13/$D$3</f>
        <v>7.316766312394081E-2</v>
      </c>
      <c r="C13" s="48">
        <v>47543</v>
      </c>
      <c r="D13" s="50">
        <f t="shared" si="1"/>
        <v>5574.6383999999998</v>
      </c>
      <c r="G13" s="38"/>
      <c r="H13" s="38"/>
      <c r="I13" s="38"/>
      <c r="J13" s="38"/>
    </row>
    <row r="14" spans="1:12" x14ac:dyDescent="0.25">
      <c r="A14" s="32"/>
      <c r="B14" s="39">
        <f t="shared" ref="B14:B15" si="2">-D14/$D$3</f>
        <v>7.316766312394081E-2</v>
      </c>
      <c r="C14" s="48">
        <v>47908</v>
      </c>
      <c r="D14" s="50">
        <f t="shared" si="1"/>
        <v>5574.6383999999998</v>
      </c>
    </row>
    <row r="15" spans="1:12" x14ac:dyDescent="0.25">
      <c r="A15" s="32"/>
      <c r="B15" s="39">
        <f t="shared" si="2"/>
        <v>7.316766312394081E-2</v>
      </c>
      <c r="C15" s="48">
        <v>48274</v>
      </c>
      <c r="D15" s="50">
        <f t="shared" si="1"/>
        <v>5574.6383999999998</v>
      </c>
    </row>
    <row r="16" spans="1:12" x14ac:dyDescent="0.25">
      <c r="A16" s="32"/>
      <c r="B16" s="45" t="s">
        <v>67</v>
      </c>
      <c r="C16" s="48">
        <v>48639</v>
      </c>
      <c r="D16" s="50">
        <f t="shared" si="1"/>
        <v>5574.6383999999998</v>
      </c>
    </row>
    <row r="17" spans="1:8" x14ac:dyDescent="0.25">
      <c r="A17" s="32"/>
      <c r="B17" s="33"/>
      <c r="C17" s="48">
        <v>49004</v>
      </c>
      <c r="D17" s="50">
        <f t="shared" si="1"/>
        <v>5574.6383999999998</v>
      </c>
    </row>
    <row r="18" spans="1:8" x14ac:dyDescent="0.25">
      <c r="A18" s="32"/>
      <c r="B18" s="33"/>
      <c r="C18" s="48">
        <v>49369</v>
      </c>
      <c r="D18" s="50">
        <f t="shared" si="1"/>
        <v>5574.6383999999998</v>
      </c>
    </row>
    <row r="19" spans="1:8" x14ac:dyDescent="0.25">
      <c r="A19" s="32"/>
      <c r="B19" s="33"/>
      <c r="C19" s="48">
        <v>49735</v>
      </c>
      <c r="D19" s="50">
        <f t="shared" si="1"/>
        <v>5574.6383999999998</v>
      </c>
    </row>
    <row r="20" spans="1:8" x14ac:dyDescent="0.25">
      <c r="A20" s="32"/>
      <c r="B20" s="33"/>
      <c r="C20" s="48">
        <v>50100</v>
      </c>
      <c r="D20" s="50">
        <f t="shared" si="1"/>
        <v>5574.6383999999998</v>
      </c>
    </row>
    <row r="21" spans="1:8" x14ac:dyDescent="0.25">
      <c r="A21" s="32"/>
      <c r="B21" s="33"/>
      <c r="C21" s="48">
        <v>50465</v>
      </c>
      <c r="D21" s="50">
        <f t="shared" si="1"/>
        <v>5574.6383999999998</v>
      </c>
    </row>
    <row r="22" spans="1:8" x14ac:dyDescent="0.25">
      <c r="A22" s="32"/>
      <c r="B22" s="33"/>
      <c r="C22" s="48">
        <v>50830</v>
      </c>
      <c r="D22" s="50">
        <f t="shared" si="1"/>
        <v>5574.6383999999998</v>
      </c>
    </row>
    <row r="23" spans="1:8" x14ac:dyDescent="0.25">
      <c r="A23" s="32"/>
      <c r="B23" s="33"/>
      <c r="C23" s="48">
        <v>51196</v>
      </c>
      <c r="D23" s="50">
        <f t="shared" si="1"/>
        <v>5574.6383999999998</v>
      </c>
    </row>
    <row r="24" spans="1:8" x14ac:dyDescent="0.25">
      <c r="A24" s="32"/>
      <c r="B24" s="33"/>
      <c r="C24" s="48">
        <v>51561</v>
      </c>
      <c r="D24" s="50">
        <f t="shared" si="1"/>
        <v>5574.6383999999998</v>
      </c>
    </row>
    <row r="25" spans="1:8" x14ac:dyDescent="0.25">
      <c r="A25" s="32"/>
      <c r="B25" s="33"/>
      <c r="C25" s="48">
        <v>51926</v>
      </c>
      <c r="D25" s="50">
        <f t="shared" si="1"/>
        <v>5574.6383999999998</v>
      </c>
    </row>
    <row r="26" spans="1:8" x14ac:dyDescent="0.25">
      <c r="A26" s="32"/>
      <c r="B26" s="33"/>
      <c r="C26" s="48">
        <v>52291</v>
      </c>
      <c r="D26" s="50">
        <f t="shared" si="1"/>
        <v>5574.6383999999998</v>
      </c>
    </row>
    <row r="27" spans="1:8" x14ac:dyDescent="0.25">
      <c r="A27" s="32"/>
      <c r="B27" s="33" t="s">
        <v>64</v>
      </c>
      <c r="C27" s="48">
        <v>52657</v>
      </c>
      <c r="D27" s="50">
        <f t="shared" si="1"/>
        <v>5574.6383999999998</v>
      </c>
    </row>
    <row r="28" spans="1:8" x14ac:dyDescent="0.25">
      <c r="A28" s="32"/>
      <c r="B28" s="33">
        <f>XIRR(D3:D28,C3:C28)</f>
        <v>6.5773609280586245E-2</v>
      </c>
      <c r="C28" s="48">
        <v>52657</v>
      </c>
      <c r="D28" s="50">
        <v>94080</v>
      </c>
      <c r="E28" s="31" t="s">
        <v>69</v>
      </c>
      <c r="F28" s="37"/>
      <c r="G28" s="37"/>
      <c r="H28" s="37"/>
    </row>
    <row r="29" spans="1:8" x14ac:dyDescent="0.25">
      <c r="A29" s="32"/>
      <c r="B29" s="33"/>
      <c r="C29" s="48"/>
      <c r="D29" s="50"/>
      <c r="E29" s="37" t="s">
        <v>62</v>
      </c>
    </row>
    <row r="31" spans="1:8" x14ac:dyDescent="0.25">
      <c r="A31" s="32"/>
      <c r="B31" s="33" t="s">
        <v>72</v>
      </c>
    </row>
    <row r="32" spans="1:8" x14ac:dyDescent="0.25">
      <c r="B32" s="31" t="s">
        <v>74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51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52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FWD</vt:lpstr>
      <vt:lpstr>overlap ptf</vt:lpstr>
      <vt:lpstr>FLI2</vt:lpstr>
      <vt:lpstr>FLI2PF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2024-11-03T14:18:48Z</dcterms:modified>
</cp:coreProperties>
</file>