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1ACC99D-A5B9-42B9-BF5F-DC1075A07166}" xr6:coauthVersionLast="41" xr6:coauthVersionMax="41" xr10:uidLastSave="{00000000-0000-0000-0000-000000000000}"/>
  <bookViews>
    <workbookView xWindow="6120" yWindow="1980" windowWidth="21240" windowHeight="11835" tabRatio="673" firstSheet="9" activeTab="12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reno" sheetId="38" r:id="rId10"/>
    <sheet name="BOC raw" sheetId="40" r:id="rId11"/>
    <sheet name="&gt;FD" sheetId="39" r:id="rId12"/>
    <sheet name="HIS19" sheetId="32" r:id="rId13"/>
    <sheet name="!" sheetId="33" r:id="rId14"/>
    <sheet name="snap" sheetId="37" r:id="rId15"/>
    <sheet name="mtg" sheetId="35" r:id="rId16"/>
    <sheet name="271ADB" sheetId="41" r:id="rId17"/>
  </sheets>
  <calcPr calcId="191029"/>
</workbook>
</file>

<file path=xl/calcChain.xml><?xml version="1.0" encoding="utf-8"?>
<calcChain xmlns="http://schemas.openxmlformats.org/spreadsheetml/2006/main">
  <c r="IS17" i="32" l="1"/>
  <c r="IQ21" i="32" l="1"/>
  <c r="IQ22" i="32"/>
  <c r="IQ43" i="32" l="1"/>
  <c r="IQ41" i="32"/>
  <c r="IQ33" i="32" l="1"/>
  <c r="IQ5" i="32" s="1"/>
  <c r="IK32" i="32" l="1"/>
  <c r="IK31" i="32"/>
  <c r="IK26" i="32"/>
  <c r="IK13" i="32"/>
  <c r="IO25" i="32" l="1"/>
  <c r="IO26" i="32"/>
  <c r="IS18" i="32"/>
  <c r="IS19" i="32"/>
  <c r="IO2" i="32"/>
  <c r="IO30" i="32"/>
  <c r="IO27" i="32"/>
  <c r="IO28" i="32"/>
  <c r="IO29" i="32"/>
  <c r="IK23" i="32"/>
  <c r="II16" i="32"/>
  <c r="IK16" i="32"/>
  <c r="IK15" i="32" s="1"/>
  <c r="IK29" i="32"/>
  <c r="IK37" i="32"/>
  <c r="IK53" i="32"/>
  <c r="IK28" i="32"/>
  <c r="IK9" i="32"/>
  <c r="II41" i="32" s="1"/>
  <c r="B31" i="41"/>
  <c r="II43" i="32"/>
  <c r="II23" i="32"/>
  <c r="II22" i="32"/>
  <c r="Q15" i="35"/>
  <c r="IM19" i="32"/>
  <c r="E17" i="35"/>
  <c r="Q17" i="35" s="1"/>
  <c r="IM18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E18" i="32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Q22" i="35" s="1"/>
  <c r="J22" i="35"/>
  <c r="E23" i="35"/>
  <c r="E26" i="35" s="1"/>
  <c r="IE52" i="32"/>
  <c r="G18" i="39"/>
  <c r="IC18" i="32"/>
  <c r="IC16" i="32"/>
  <c r="IE23" i="32"/>
  <c r="IE24" i="32"/>
  <c r="D30" i="38"/>
  <c r="G24" i="38"/>
  <c r="G20" i="38"/>
  <c r="E11" i="38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Y15" i="32"/>
  <c r="HW18" i="32"/>
  <c r="HW16" i="32"/>
  <c r="GQ3" i="32"/>
  <c r="HY19" i="32"/>
  <c r="HY11" i="32"/>
  <c r="HY20" i="32"/>
  <c r="HY12" i="32"/>
  <c r="T15" i="35"/>
  <c r="C18" i="39"/>
  <c r="D18" i="39"/>
  <c r="F18" i="39"/>
  <c r="IS20" i="32" s="1"/>
  <c r="HY34" i="32"/>
  <c r="HW24" i="32"/>
  <c r="HW26" i="32"/>
  <c r="HU23" i="32"/>
  <c r="HU21" i="32"/>
  <c r="HS24" i="32"/>
  <c r="HS13" i="32"/>
  <c r="HS12" i="32" s="1"/>
  <c r="HQ31" i="32"/>
  <c r="HS19" i="32"/>
  <c r="HU22" i="32"/>
  <c r="HQ3" i="32"/>
  <c r="T13" i="35"/>
  <c r="W13" i="35"/>
  <c r="HS18" i="32"/>
  <c r="HQ34" i="32"/>
  <c r="HU5" i="32"/>
  <c r="HU6" i="32"/>
  <c r="HM17" i="32"/>
  <c r="HS34" i="32"/>
  <c r="HQ28" i="32"/>
  <c r="HM10" i="32"/>
  <c r="HM9" i="32" s="1"/>
  <c r="HM27" i="32"/>
  <c r="HO3" i="32"/>
  <c r="HO2" i="32" s="1"/>
  <c r="HM18" i="32"/>
  <c r="GU13" i="32"/>
  <c r="GU7" i="32" s="1"/>
  <c r="HM14" i="32"/>
  <c r="HM15" i="32"/>
  <c r="G15" i="38"/>
  <c r="G14" i="38"/>
  <c r="G17" i="38" s="1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A19" i="32"/>
  <c r="HA14" i="32" s="1"/>
  <c r="HG20" i="32"/>
  <c r="HG16" i="32" s="1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B5" i="38"/>
  <c r="B6" i="38" s="1"/>
  <c r="B7" i="38" s="1"/>
  <c r="B8" i="38" s="1"/>
  <c r="B9" i="38" s="1"/>
  <c r="B12" i="38" s="1"/>
  <c r="R9" i="35"/>
  <c r="C7" i="37"/>
  <c r="C19" i="37" s="1"/>
  <c r="O17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S2" i="28" s="1"/>
  <c r="BS3" i="28" s="1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K2" i="28" s="1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FD25" i="28" s="1"/>
  <c r="FC24" i="28" s="1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W8" i="28"/>
  <c r="BA12" i="28"/>
  <c r="BA9" i="28"/>
  <c r="EK12" i="28"/>
  <c r="EO12" i="28"/>
  <c r="EQ12" i="28"/>
  <c r="ES12" i="28"/>
  <c r="EU12" i="28"/>
  <c r="EU2" i="28" s="1"/>
  <c r="EY12" i="28"/>
  <c r="EY8" i="28" s="1"/>
  <c r="W13" i="28"/>
  <c r="AI13" i="28"/>
  <c r="AI8" i="28" s="1"/>
  <c r="DO13" i="28"/>
  <c r="DO8" i="28" s="1"/>
  <c r="AC14" i="28"/>
  <c r="AU14" i="28"/>
  <c r="AU9" i="28"/>
  <c r="CU14" i="28"/>
  <c r="CU2" i="28" s="1"/>
  <c r="CW2" i="28" s="1"/>
  <c r="EQ14" i="28"/>
  <c r="ES14" i="28"/>
  <c r="EY14" i="28"/>
  <c r="AO15" i="28"/>
  <c r="AO6" i="28" s="1"/>
  <c r="EW15" i="28"/>
  <c r="EW2" i="28" s="1"/>
  <c r="CK16" i="28"/>
  <c r="CK8" i="28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/>
  <c r="AO25" i="28"/>
  <c r="CQ29" i="28"/>
  <c r="FD29" i="28"/>
  <c r="FD30" i="28"/>
  <c r="BY35" i="28"/>
  <c r="BY43" i="28"/>
  <c r="E16" i="31"/>
  <c r="E17" i="3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S9" i="21" s="1"/>
  <c r="AE15" i="21"/>
  <c r="BC15" i="21"/>
  <c r="S16" i="21"/>
  <c r="W16" i="21"/>
  <c r="W3" i="21" s="1"/>
  <c r="AY16" i="21"/>
  <c r="AY3" i="21" s="1"/>
  <c r="M17" i="21"/>
  <c r="S17" i="21"/>
  <c r="AK17" i="21"/>
  <c r="AK10" i="21" s="1"/>
  <c r="BC17" i="21"/>
  <c r="BC3" i="21" s="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N34" i="34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E1" i="19" s="1"/>
  <c r="H4" i="19"/>
  <c r="K4" i="19"/>
  <c r="N4" i="19"/>
  <c r="Q4" i="19"/>
  <c r="T4" i="19"/>
  <c r="W4" i="19"/>
  <c r="Z4" i="19"/>
  <c r="AC4" i="19"/>
  <c r="AF4" i="19"/>
  <c r="AF1" i="19" s="1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/>
  <c r="B1" i="19" s="1"/>
  <c r="H5" i="19"/>
  <c r="H8" i="19" s="1"/>
  <c r="H1" i="19" s="1"/>
  <c r="K7" i="19"/>
  <c r="K10" i="19"/>
  <c r="K1" i="19" s="1"/>
  <c r="N7" i="19"/>
  <c r="N10" i="19" s="1"/>
  <c r="Q7" i="19"/>
  <c r="Q10" i="19" s="1"/>
  <c r="T7" i="19"/>
  <c r="T10" i="19"/>
  <c r="T1" i="19" s="1"/>
  <c r="W7" i="19"/>
  <c r="W10" i="19" s="1"/>
  <c r="W1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/>
  <c r="AR1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M1" i="19" s="1"/>
  <c r="BP7" i="19"/>
  <c r="BP9" i="19" s="1"/>
  <c r="BS7" i="19"/>
  <c r="BS9" i="19"/>
  <c r="BS1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/>
  <c r="F5" i="24"/>
  <c r="F6" i="24"/>
  <c r="F8" i="24"/>
  <c r="U8" i="35"/>
  <c r="HA7" i="32"/>
  <c r="J23" i="35"/>
  <c r="J26" i="35" s="1"/>
  <c r="F19" i="39"/>
  <c r="Y10" i="21"/>
  <c r="M5" i="34"/>
  <c r="S8" i="21"/>
  <c r="S6" i="21"/>
  <c r="DS2" i="28"/>
  <c r="CK2" i="28"/>
  <c r="AE10" i="21"/>
  <c r="FC16" i="28"/>
  <c r="AC3" i="21" l="1"/>
  <c r="AI2" i="28"/>
  <c r="AI3" i="28" s="1"/>
  <c r="AI4" i="28" s="1"/>
  <c r="E19" i="31"/>
  <c r="CQ3" i="28"/>
  <c r="CQ4" i="28" s="1"/>
  <c r="Y7" i="21"/>
  <c r="EQ2" i="28"/>
  <c r="F26" i="38"/>
  <c r="CW3" i="28"/>
  <c r="CW4" i="28" s="1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CK3" i="28"/>
  <c r="AC1" i="19"/>
  <c r="AL1" i="19"/>
  <c r="AM3" i="21"/>
  <c r="I3" i="21"/>
  <c r="AO3" i="28"/>
  <c r="BS4" i="28"/>
  <c r="BS5" i="28" s="1"/>
  <c r="F15" i="24"/>
  <c r="AG3" i="2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Y4" i="28" s="1"/>
  <c r="BY5" i="28" s="1"/>
  <c r="BA2" i="28"/>
  <c r="BA3" i="28" s="1"/>
  <c r="BA4" i="28" s="1"/>
  <c r="BA5" i="28" s="1"/>
  <c r="W2" i="28"/>
  <c r="W3" i="28" s="1"/>
  <c r="W4" i="28" s="1"/>
  <c r="AE3" i="21"/>
  <c r="EA2" i="28"/>
  <c r="EA3" i="28" s="1"/>
  <c r="EA4" i="28" s="1"/>
  <c r="CK4" i="28"/>
  <c r="DC2" i="28"/>
  <c r="DC3" i="28" s="1"/>
  <c r="DC4" i="28" s="1"/>
  <c r="C19" i="39"/>
  <c r="IM21" i="32" s="1"/>
  <c r="IM2" i="32" s="1"/>
  <c r="F21" i="25"/>
  <c r="AQ5" i="21"/>
  <c r="AQ7" i="21" s="1"/>
  <c r="K34" i="34"/>
  <c r="Y6" i="21"/>
  <c r="Y3" i="21"/>
  <c r="AS3" i="21"/>
  <c r="AO8" i="28"/>
  <c r="AO4" i="28" s="1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S3" i="21" s="1"/>
  <c r="S4" i="21" s="1"/>
  <c r="F18" i="38"/>
  <c r="E30" i="38" s="1"/>
  <c r="AI1" i="19"/>
  <c r="AX1" i="19"/>
  <c r="N1" i="19"/>
  <c r="AO1" i="19"/>
  <c r="Q1" i="19"/>
  <c r="K3" i="21"/>
  <c r="M3" i="21" s="1"/>
  <c r="BJ1" i="19"/>
  <c r="EG2" i="28"/>
  <c r="EG3" i="28" s="1"/>
  <c r="EG4" i="28" s="1"/>
  <c r="Z1" i="19"/>
  <c r="FS3" i="32"/>
  <c r="FQ3" i="32" s="1"/>
  <c r="FQ4" i="32" s="1"/>
  <c r="GO9" i="32"/>
  <c r="IS21" i="32"/>
  <c r="DI2" i="28"/>
  <c r="DI3" i="28" s="1"/>
  <c r="DI4" i="28" s="1"/>
  <c r="BG1" i="19"/>
  <c r="G3" i="21"/>
  <c r="EY2" i="28"/>
  <c r="EY3" i="28" s="1"/>
  <c r="EY4" i="28" s="1"/>
  <c r="AU1" i="19"/>
  <c r="Y4" i="21"/>
  <c r="AU2" i="28"/>
  <c r="AU3" i="28" s="1"/>
  <c r="AU4" i="28" s="1"/>
  <c r="AU5" i="28" s="1"/>
  <c r="FC20" i="28"/>
  <c r="B18" i="38"/>
  <c r="B19" i="38" s="1"/>
  <c r="B26" i="38" s="1"/>
  <c r="B27" i="38" s="1"/>
  <c r="B28" i="38" s="1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E17" i="32"/>
  <c r="IC27" i="32" s="1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Y14" i="32"/>
  <c r="HW25" i="32" s="1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IS2" i="32" l="1"/>
  <c r="IQ2" i="32" s="1"/>
  <c r="DO2" i="28"/>
  <c r="DO3" i="28" s="1"/>
  <c r="DO4" i="28" s="1"/>
  <c r="AK3" i="21"/>
  <c r="ES2" i="28"/>
  <c r="ES3" i="28" s="1"/>
  <c r="ES4" i="28" s="1"/>
  <c r="AE4" i="21"/>
  <c r="AK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FC22" i="28"/>
  <c r="FC21" i="28" s="1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IK4" i="32" s="1"/>
  <c r="CD4" i="32"/>
  <c r="CD5" i="32"/>
  <c r="HS5" i="32"/>
  <c r="HS4" i="32"/>
  <c r="AV4" i="32"/>
  <c r="AV5" i="32"/>
  <c r="DZ5" i="32"/>
  <c r="DZ4" i="32"/>
  <c r="CP5" i="32"/>
  <c r="CP4" i="32"/>
  <c r="DB5" i="32"/>
  <c r="DB4" i="32"/>
  <c r="HY6" i="32" l="1"/>
  <c r="FW5" i="32"/>
  <c r="ES5" i="32"/>
  <c r="Q26" i="35"/>
  <c r="J27" i="35"/>
  <c r="FC28" i="28"/>
  <c r="FC5" i="28" s="1"/>
  <c r="FC6" i="28" s="1"/>
  <c r="FD32" i="28"/>
  <c r="FC7" i="28" s="1"/>
  <c r="FC8" i="28" s="1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C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C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C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C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C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C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C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C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C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C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C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C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C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C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C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C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C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C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C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HM9" authorId="1" shapeId="0" xr:uid="{00000000-0006-0000-0C00-000014000000}">
      <text>
        <r>
          <rPr>
            <sz val="9"/>
            <color indexed="81"/>
            <rFont val="Tahoma"/>
            <family val="2"/>
          </rPr>
          <t>6/7 monthlyAmt</t>
        </r>
      </text>
    </comment>
    <comment ref="FF10" authorId="2" shapeId="0" xr:uid="{00000000-0006-0000-0C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C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S12" authorId="1" shapeId="0" xr:uid="{00000000-0006-0000-0C00-000017000000}">
      <text>
        <r>
          <rPr>
            <sz val="9"/>
            <color indexed="81"/>
            <rFont val="Tahoma"/>
            <family val="2"/>
          </rPr>
          <t>6/7 monthlyAmt</t>
        </r>
      </text>
    </comment>
    <comment ref="IQ13" authorId="1" shapeId="0" xr:uid="{00000000-0006-0000-0C00-000018000000}">
      <text>
        <r>
          <rPr>
            <sz val="9"/>
            <color indexed="81"/>
            <rFont val="Tahoma"/>
            <family val="2"/>
          </rPr>
          <t>5/6 monthlyAmt</t>
        </r>
      </text>
    </comment>
    <comment ref="HA14" authorId="0" shapeId="0" xr:uid="{00000000-0006-0000-0C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C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E17" authorId="1" shapeId="0" xr:uid="{00000000-0006-0000-0C00-00001B000000}">
      <text>
        <r>
          <rPr>
            <sz val="9"/>
            <color indexed="81"/>
            <rFont val="Tahoma"/>
            <family val="2"/>
          </rPr>
          <t>5/6 monthlyAmt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<sst xmlns="http://schemas.openxmlformats.org/spreadsheetml/2006/main" count="6611" uniqueCount="2584">
  <si>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</si>
  <si>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</si>
  <si>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</si>
  <si>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</si>
  <si>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</si>
  <si>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</si>
  <si>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</si>
  <si>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</si>
  <si>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</si>
  <si>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</si>
  <si>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</si>
  <si>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</si>
  <si>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</si>
  <si>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</si>
  <si>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</si>
  <si>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</si>
  <si>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</si>
  <si>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</si>
  <si>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</si>
  <si>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</si>
  <si>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</si>
  <si>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</si>
  <si>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</si>
  <si>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</si>
  <si>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</si>
  <si>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</si>
  <si>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</si>
  <si>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</si>
  <si>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</si>
  <si>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</si>
  <si>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</si>
  <si>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</si>
  <si>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</si>
  <si>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</si>
  <si>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</si>
  <si>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</si>
  <si>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</si>
  <si>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</si>
  <si>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</si>
  <si>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</si>
  <si>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</si>
  <si>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</si>
  <si>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</si>
  <si>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</si>
  <si>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</si>
  <si>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</si>
  <si>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</si>
  <si>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</si>
  <si>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</si>
  <si>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</si>
  <si>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</si>
  <si>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</si>
  <si>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</si>
  <si>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</si>
  <si>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</si>
  <si>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</si>
  <si>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</si>
  <si>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</si>
  <si>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</si>
  <si>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</si>
  <si>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</si>
  <si>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</si>
  <si>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</si>
  <si>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</si>
  <si>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</si>
  <si>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</si>
  <si>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</si>
  <si>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</si>
  <si>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</si>
  <si>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</si>
  <si>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</si>
  <si>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</si>
  <si>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</si>
  <si>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</si>
  <si>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</si>
  <si>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</si>
  <si>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</si>
  <si>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</si>
  <si>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</si>
  <si>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</si>
  <si>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</si>
  <si>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</si>
  <si>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</si>
  <si>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</si>
  <si>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</si>
  <si>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</si>
  <si>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</si>
  <si>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</si>
  <si>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</si>
  <si>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</si>
  <si>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</si>
  <si>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</si>
  <si>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</si>
  <si>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</si>
  <si>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</si>
  <si>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</si>
  <si>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</si>
  <si>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</si>
  <si>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</si>
  <si>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</si>
  <si>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</si>
  <si>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</si>
  <si>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</si>
  <si>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</si>
  <si>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</si>
  <si>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</si>
  <si>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</si>
  <si>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</si>
  <si>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</si>
  <si>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</si>
  <si>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</si>
  <si>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</si>
  <si>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</si>
  <si>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</si>
  <si>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</si>
  <si>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</si>
  <si>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</si>
  <si>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</si>
  <si>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</si>
  <si>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</si>
  <si>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</si>
  <si>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</si>
  <si>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</si>
  <si>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</si>
  <si>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</si>
  <si>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</si>
  <si>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</si>
  <si>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</si>
  <si>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</si>
  <si>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</si>
  <si>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</si>
  <si>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</si>
  <si>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</si>
  <si>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</si>
  <si>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</si>
  <si>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</si>
  <si>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</si>
  <si>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</si>
  <si>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</si>
  <si>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</si>
  <si>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</si>
  <si>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</si>
  <si>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</si>
  <si>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</si>
  <si>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</si>
  <si>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</si>
  <si>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</si>
  <si>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</si>
  <si>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</si>
  <si>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</si>
  <si>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</si>
  <si>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</si>
  <si>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</si>
  <si>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</si>
  <si>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</si>
  <si>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</si>
  <si>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</si>
  <si>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</si>
  <si>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</si>
  <si>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</si>
  <si>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</si>
  <si>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</si>
  <si>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</si>
  <si>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</si>
  <si>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</si>
  <si>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</si>
  <si>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</si>
  <si>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</si>
  <si>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</si>
  <si>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</si>
  <si>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</si>
  <si>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</si>
  <si>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</si>
  <si>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</si>
  <si>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</si>
  <si>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</si>
  <si>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</si>
  <si>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</si>
  <si>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</si>
  <si>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</si>
  <si>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</si>
  <si>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</si>
  <si>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</si>
  <si>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</si>
  <si>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</si>
  <si>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</si>
  <si>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</si>
  <si>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</si>
  <si>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</si>
  <si>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</si>
  <si>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</si>
  <si>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</si>
  <si>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</si>
  <si>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</si>
  <si>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</si>
  <si>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</si>
  <si>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</si>
  <si>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</si>
  <si>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</si>
  <si>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</si>
  <si>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</si>
  <si>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</si>
  <si>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</si>
  <si>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</si>
  <si>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</si>
  <si>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</si>
  <si>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</si>
  <si>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</si>
  <si>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</si>
  <si>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</si>
  <si>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</si>
  <si>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</si>
  <si>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</si>
  <si>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</si>
  <si>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</si>
  <si>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</si>
  <si>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</si>
  <si>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</si>
  <si>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</si>
  <si>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</si>
  <si>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</si>
  <si>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</si>
  <si>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</si>
  <si>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</si>
  <si>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</si>
  <si>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</si>
  <si>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</si>
  <si>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</si>
  <si>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</si>
  <si>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</si>
  <si>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</si>
  <si>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</si>
  <si>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</si>
  <si>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</si>
  <si>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</si>
  <si>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</si>
  <si>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</si>
  <si>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</si>
  <si>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</si>
  <si>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</si>
  <si>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</si>
  <si>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</si>
  <si>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</si>
  <si>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</si>
  <si>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</si>
  <si>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</si>
  <si>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</si>
  <si>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</si>
  <si>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</si>
  <si>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</si>
  <si>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</si>
  <si>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</si>
  <si>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</si>
  <si>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</si>
  <si>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</si>
  <si>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</si>
  <si>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</si>
  <si>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</si>
  <si>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</si>
  <si>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</si>
  <si>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</si>
  <si>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</si>
  <si>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</si>
  <si>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</si>
  <si>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</si>
  <si>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</si>
  <si>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</si>
  <si>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</si>
  <si>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</si>
  <si>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</si>
  <si>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</si>
  <si>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</si>
  <si>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</si>
  <si>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</si>
  <si>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</si>
  <si>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</si>
  <si>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</si>
  <si>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</si>
  <si>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</si>
  <si>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</si>
  <si>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</si>
  <si>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</si>
  <si>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</si>
  <si>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</si>
  <si>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</si>
  <si>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</si>
  <si>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</si>
  <si>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</si>
  <si>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</si>
  <si>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</si>
  <si>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</si>
  <si>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</si>
  <si>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</si>
  <si>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</si>
  <si>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</si>
  <si>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</si>
  <si>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</si>
  <si>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</si>
  <si>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</si>
  <si>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</si>
  <si>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</si>
  <si>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</si>
  <si>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</si>
  <si>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</si>
  <si>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</si>
  <si>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</si>
  <si>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</si>
  <si>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</si>
  <si>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</si>
  <si>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</si>
  <si>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</si>
  <si>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</si>
  <si>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</si>
  <si>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</si>
  <si>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</si>
  <si>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</si>
  <si>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</si>
  <si>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</si>
  <si>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</si>
  <si>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</si>
  <si>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</si>
  <si>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</si>
  <si>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</si>
  <si>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</si>
  <si>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</si>
  <si>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</si>
  <si>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</si>
  <si>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</si>
  <si>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</si>
  <si>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</si>
  <si>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</si>
  <si>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</si>
  <si>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</si>
  <si>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</si>
  <si>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</si>
  <si>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</si>
  <si>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</si>
  <si>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</si>
  <si>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</si>
  <si>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</si>
  <si>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</si>
  <si>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</si>
  <si>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</si>
  <si>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</si>
  <si>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</si>
  <si>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</si>
  <si>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</si>
  <si>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</si>
  <si>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</si>
  <si>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</si>
  <si>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</si>
  <si>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</si>
  <si>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</si>
  <si>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</si>
  <si>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</si>
  <si>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</si>
  <si>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</si>
  <si>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</si>
  <si>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</si>
  <si>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</si>
  <si>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</si>
  <si>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</si>
  <si>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</si>
  <si>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</si>
  <si>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</si>
  <si>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</si>
  <si>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</si>
  <si>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</si>
  <si>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</si>
  <si>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</si>
  <si>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</si>
  <si>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</si>
  <si>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</si>
  <si>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</si>
  <si>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</si>
  <si>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</si>
  <si>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</si>
  <si>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</si>
  <si>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</si>
  <si>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</si>
  <si>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</si>
  <si>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</si>
  <si>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</si>
  <si>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</si>
  <si>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</si>
  <si>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</si>
  <si>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</si>
  <si>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</si>
  <si>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</si>
  <si>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</si>
  <si>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</si>
  <si>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</si>
  <si>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</si>
  <si>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</si>
  <si>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</si>
  <si>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</si>
  <si>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</si>
  <si>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</si>
  <si>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</si>
  <si>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</si>
  <si>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</si>
  <si>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</si>
  <si>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</si>
  <si>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</si>
  <si>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</si>
  <si>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</si>
  <si>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</si>
  <si>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</si>
  <si>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</si>
  <si>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</si>
  <si>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</si>
  <si>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</si>
  <si>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</si>
  <si>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</si>
  <si>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</si>
  <si>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</si>
  <si>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</si>
  <si>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</si>
  <si>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</si>
  <si>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</si>
  <si>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</si>
  <si>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</si>
  <si>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</si>
  <si>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</si>
  <si>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</si>
  <si>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</si>
  <si>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</si>
  <si>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</si>
  <si>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</si>
  <si>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</si>
  <si>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</si>
  <si>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</si>
  <si>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</si>
  <si>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</si>
  <si>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</si>
  <si>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</si>
  <si>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</si>
  <si>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</si>
  <si>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</si>
  <si>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</si>
  <si>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</si>
  <si>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</si>
  <si>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</si>
  <si>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</si>
  <si>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</si>
  <si>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</si>
  <si>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</si>
  <si>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</si>
  <si>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</si>
  <si>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</si>
  <si>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</si>
  <si>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</si>
  <si>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</si>
  <si>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</si>
  <si>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</si>
  <si>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</si>
  <si>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</si>
  <si>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</si>
  <si>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</si>
  <si>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</si>
  <si>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</si>
  <si>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</si>
  <si>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</si>
  <si>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</si>
  <si>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</si>
  <si>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</si>
  <si>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</si>
  <si>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</si>
  <si>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</si>
  <si>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</si>
  <si>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</si>
  <si>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</si>
  <si>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</si>
  <si>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</si>
  <si>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</si>
  <si>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</si>
  <si>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</si>
  <si>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</si>
  <si>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</si>
  <si>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</si>
  <si>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</si>
  <si>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</si>
  <si>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</si>
  <si>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</si>
  <si>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</si>
  <si>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</si>
  <si>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</si>
  <si>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</si>
  <si>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</si>
  <si>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</si>
  <si>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</si>
  <si>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</si>
  <si>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</si>
  <si>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</si>
  <si>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</si>
  <si>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</si>
  <si>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</si>
  <si>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</si>
  <si>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</si>
  <si>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</si>
  <si>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</si>
  <si>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</si>
  <si>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</si>
  <si>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</si>
  <si>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</si>
  <si>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</si>
  <si>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</si>
  <si>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</si>
  <si>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</si>
  <si>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</si>
  <si>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</si>
  <si>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</si>
  <si>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</si>
  <si>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</si>
  <si>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</si>
  <si>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</si>
  <si>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</si>
  <si>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</si>
  <si>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</si>
  <si>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</si>
  <si>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</si>
  <si>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</si>
  <si>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</si>
  <si>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</si>
  <si>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</si>
  <si>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</si>
  <si>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</si>
  <si>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</si>
  <si>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</si>
  <si>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</si>
  <si>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</si>
  <si>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</si>
  <si>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</si>
  <si>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</si>
  <si>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</si>
  <si>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</si>
  <si>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</si>
  <si>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</si>
  <si>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</si>
  <si>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</si>
  <si>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</si>
  <si>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</si>
  <si>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</si>
  <si>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</si>
  <si>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</si>
  <si>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</si>
  <si>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</si>
  <si>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</si>
  <si>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</si>
  <si>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</si>
  <si>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</si>
  <si>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</si>
  <si>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</si>
  <si>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</si>
  <si>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</si>
  <si>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</si>
  <si>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</si>
  <si>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</si>
  <si>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</si>
  <si>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</si>
  <si>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</si>
  <si>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</si>
  <si>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</si>
  <si>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</si>
  <si>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</si>
  <si>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</si>
  <si>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</si>
  <si>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</si>
  <si>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</si>
  <si>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</si>
  <si>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</si>
  <si>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</si>
  <si>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</si>
  <si>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</si>
  <si>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</si>
  <si>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</si>
  <si>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</si>
  <si>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</si>
  <si>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</si>
  <si>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</si>
  <si>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</si>
  <si>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</si>
  <si>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</si>
  <si>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</si>
  <si>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</si>
  <si>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</si>
  <si>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</si>
  <si>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</si>
  <si>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</si>
  <si>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</si>
  <si>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</si>
  <si>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</si>
  <si>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</si>
  <si>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</si>
  <si>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</si>
  <si>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</si>
  <si>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</si>
  <si>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</si>
  <si>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</si>
  <si>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</si>
  <si>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</si>
  <si>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</si>
  <si>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</si>
  <si>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</si>
  <si>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</si>
  <si>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</si>
  <si>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</si>
  <si>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</si>
  <si>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</si>
  <si>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</si>
  <si>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</si>
  <si>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</si>
  <si>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</si>
  <si>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</si>
  <si>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</si>
  <si>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</si>
  <si>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</si>
  <si>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</si>
  <si>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</si>
  <si>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</si>
  <si>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</si>
  <si>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</si>
  <si>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</si>
  <si>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</si>
  <si>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</si>
  <si>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</si>
  <si>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</si>
  <si>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</si>
  <si>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</si>
  <si>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</si>
  <si>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</si>
  <si>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</si>
  <si>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</si>
  <si>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</si>
  <si>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</si>
  <si>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</si>
  <si>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</si>
  <si>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</si>
  <si>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</si>
  <si>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</si>
  <si>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</si>
  <si>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</si>
  <si>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</si>
  <si>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</si>
  <si>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</si>
  <si>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</si>
  <si>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</si>
  <si>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</si>
  <si>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</si>
  <si>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</si>
  <si>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</si>
  <si>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</si>
  <si>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</si>
  <si>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</si>
  <si>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</si>
  <si>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</si>
  <si>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</si>
  <si>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</si>
  <si>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</si>
  <si>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</si>
  <si>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</si>
  <si>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</si>
  <si>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</si>
  <si>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</si>
  <si>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</si>
  <si>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</si>
  <si>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</si>
  <si>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</si>
  <si>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</si>
  <si>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</si>
  <si>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</si>
  <si>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</si>
  <si>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</si>
  <si>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</si>
  <si>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</si>
  <si>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</si>
  <si>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</si>
  <si>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</si>
  <si>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</si>
  <si>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</si>
  <si>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</si>
  <si>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</si>
  <si>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</si>
  <si>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</si>
  <si>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</si>
  <si>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</si>
  <si>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</si>
  <si>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</si>
  <si>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</si>
  <si>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</si>
  <si>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</si>
  <si>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</si>
  <si>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</si>
  <si>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</si>
  <si>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</si>
  <si>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</si>
  <si>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</si>
  <si>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</si>
  <si>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</si>
  <si>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</si>
  <si>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</si>
  <si>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</si>
  <si>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</si>
  <si>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</si>
  <si>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</si>
  <si>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</si>
  <si>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</si>
  <si>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</si>
  <si>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</si>
  <si>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</si>
  <si>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</si>
  <si>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</si>
  <si>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</si>
  <si>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</si>
  <si>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</si>
  <si>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</si>
  <si>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</si>
  <si>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</si>
  <si>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</si>
  <si>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</si>
  <si>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</si>
  <si>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</si>
  <si>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</si>
  <si>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</si>
  <si>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</si>
  <si>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</si>
  <si>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</si>
  <si>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</si>
  <si>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</si>
  <si>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</si>
  <si>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</si>
  <si>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</si>
  <si>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</si>
  <si>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</si>
  <si>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</si>
  <si>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</si>
  <si>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</si>
  <si>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</si>
  <si>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</si>
  <si>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</si>
  <si>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</si>
  <si>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</si>
  <si>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</si>
  <si>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</si>
  <si>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</si>
  <si>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</si>
  <si>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</si>
  <si>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</si>
  <si>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</si>
  <si>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</si>
  <si>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</si>
  <si>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</si>
  <si>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</si>
  <si>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</si>
  <si>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</si>
  <si>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</si>
  <si>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</si>
  <si>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</si>
  <si>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</si>
  <si>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</si>
  <si>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</si>
  <si>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</si>
  <si>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</si>
  <si>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</si>
  <si>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</si>
  <si>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</si>
  <si>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</si>
  <si>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</si>
  <si>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</si>
  <si>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</si>
  <si>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</si>
  <si>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</si>
  <si>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</si>
  <si>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</si>
  <si>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</si>
  <si>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</si>
  <si>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</si>
  <si>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</si>
  <si>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</si>
  <si>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</si>
  <si>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</si>
  <si>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</si>
  <si>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</si>
  <si>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</si>
  <si>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</si>
  <si>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</si>
  <si>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</si>
  <si>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</si>
  <si>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</si>
  <si>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</si>
  <si>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</si>
  <si>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</si>
  <si>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</si>
  <si>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</si>
  <si>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</si>
  <si>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</si>
  <si>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</si>
  <si>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</si>
  <si>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</si>
  <si>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</si>
  <si>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</si>
  <si>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</si>
  <si>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</si>
  <si>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</si>
  <si>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</si>
  <si>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</si>
  <si>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</si>
  <si>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</si>
  <si>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</si>
  <si>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</si>
  <si>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</si>
  <si>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</si>
  <si>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</si>
  <si>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</si>
  <si>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</si>
  <si>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</si>
  <si>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</si>
  <si>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</si>
  <si>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</si>
  <si>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</si>
  <si>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</si>
  <si>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</si>
  <si>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</si>
  <si>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</si>
  <si>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</si>
  <si>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</si>
  <si>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</si>
  <si>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</si>
  <si>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</si>
  <si>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</si>
  <si>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</si>
  <si>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</si>
  <si>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</si>
  <si>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</si>
  <si>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</si>
  <si>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</si>
  <si>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</si>
  <si>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</si>
  <si>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</si>
  <si>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</si>
  <si>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</si>
  <si>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</si>
  <si>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</si>
  <si>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</si>
  <si>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</si>
  <si>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</si>
  <si>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</si>
  <si>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</si>
  <si>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</si>
  <si>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</si>
  <si>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</si>
  <si>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</si>
  <si>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</si>
  <si>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</si>
  <si>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</si>
  <si>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</si>
  <si>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</si>
  <si>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</si>
  <si>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</si>
  <si>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</si>
  <si>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</si>
  <si>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</si>
  <si>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</si>
  <si>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</si>
  <si>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</si>
  <si>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</si>
  <si>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</si>
  <si>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</si>
  <si>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</si>
  <si>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</si>
  <si>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</si>
  <si>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</si>
  <si>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</si>
  <si>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</si>
  <si>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</si>
  <si>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</si>
  <si>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</si>
  <si>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</si>
  <si>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</si>
  <si>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</si>
  <si>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</si>
  <si>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</si>
  <si>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</si>
  <si>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</si>
  <si>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</si>
  <si>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</si>
  <si>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</si>
  <si>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</si>
  <si>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</si>
  <si>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</si>
  <si>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</si>
  <si>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</si>
  <si>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</si>
  <si>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</si>
  <si>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</si>
  <si>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</si>
  <si>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</si>
  <si>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</si>
  <si>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</si>
  <si>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</si>
  <si>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</si>
  <si>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</si>
  <si>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</si>
  <si>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</si>
  <si>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</si>
  <si>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</si>
  <si>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</si>
  <si>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</si>
  <si>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</si>
  <si>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</si>
  <si>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</si>
  <si>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</si>
  <si>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</si>
  <si>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</si>
  <si>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</si>
  <si>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</si>
  <si>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</si>
  <si>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</si>
  <si>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</si>
  <si>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</si>
  <si>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</si>
  <si>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</si>
  <si>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</si>
  <si>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</si>
  <si>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</si>
  <si>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</si>
  <si>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</si>
  <si>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</si>
  <si>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</si>
  <si>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</si>
  <si>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</si>
  <si>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</si>
  <si>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</si>
  <si>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</si>
  <si>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</si>
  <si>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</si>
  <si>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</si>
  <si>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</si>
  <si>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</si>
  <si>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</si>
  <si>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</si>
  <si>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</si>
  <si>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</si>
  <si>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</si>
  <si>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</si>
  <si>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</si>
  <si>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</si>
  <si>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</si>
  <si>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</si>
  <si>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</si>
  <si>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</si>
  <si>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</si>
  <si>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</si>
  <si>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</si>
  <si>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</si>
  <si>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</si>
  <si>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</si>
  <si>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</si>
  <si>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</si>
  <si>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</si>
  <si>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</si>
  <si>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</si>
  <si>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</si>
  <si>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</si>
  <si>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</si>
  <si>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</si>
  <si>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</si>
  <si>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</si>
  <si>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</si>
  <si>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</si>
  <si>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</si>
  <si>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</si>
  <si>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</si>
  <si>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</si>
  <si>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</si>
  <si>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</si>
  <si>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</si>
  <si>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</si>
  <si>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</si>
  <si>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</si>
  <si>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</si>
  <si>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</si>
  <si>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</si>
  <si>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</si>
  <si>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</si>
  <si>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</si>
  <si>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</si>
  <si>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</si>
  <si>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</si>
  <si>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</si>
  <si>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</si>
  <si>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</si>
  <si>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</si>
  <si>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</si>
  <si>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</si>
  <si>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</si>
  <si>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</si>
  <si>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</si>
  <si>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</si>
  <si>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</si>
  <si>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</si>
  <si>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</si>
  <si>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</si>
  <si>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</si>
  <si>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</si>
  <si>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</si>
  <si>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</si>
  <si>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</si>
  <si>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</si>
  <si>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</si>
  <si>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</si>
  <si>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</si>
  <si>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</si>
  <si>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</si>
  <si>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</si>
  <si>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</si>
  <si>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</si>
  <si>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</si>
  <si>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</si>
  <si>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</si>
  <si>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</si>
  <si>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</si>
  <si>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</si>
  <si>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</si>
  <si>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</si>
  <si>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</si>
  <si>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</si>
  <si>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</si>
  <si>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</si>
  <si>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</si>
  <si>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</si>
  <si>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</si>
  <si>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</si>
  <si>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</si>
  <si>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</si>
  <si>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</si>
  <si>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</si>
  <si>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</si>
  <si>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</si>
  <si>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</si>
  <si>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</si>
  <si>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</si>
  <si>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</si>
  <si>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</si>
  <si>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</si>
  <si>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</si>
  <si>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</si>
  <si>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</si>
  <si>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</si>
  <si>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</si>
  <si>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</si>
  <si>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</si>
  <si>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</si>
  <si>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</si>
  <si>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</si>
  <si>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</si>
  <si>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</si>
  <si>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</si>
  <si>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</si>
  <si>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</si>
  <si>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</si>
  <si>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</si>
  <si>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</si>
  <si>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</si>
  <si>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</si>
  <si>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</si>
  <si>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</si>
  <si>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</si>
  <si>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</si>
  <si>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</si>
  <si>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</si>
  <si>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</si>
  <si>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</si>
  <si>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</si>
  <si>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</si>
  <si>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</si>
  <si>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</si>
  <si>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</si>
  <si>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</si>
  <si>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</si>
  <si>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</si>
  <si>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</si>
  <si>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</si>
  <si>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</si>
  <si>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</si>
  <si>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</si>
  <si>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</si>
  <si>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</si>
  <si>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</si>
  <si>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</si>
  <si>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</si>
  <si>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</si>
  <si>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</si>
  <si>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</si>
  <si>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</si>
  <si>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</si>
  <si>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</si>
  <si>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</si>
  <si>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</si>
  <si>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</si>
  <si>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</si>
  <si>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</si>
  <si>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</si>
  <si>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</si>
  <si>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</si>
  <si>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</si>
  <si>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</si>
  <si>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</si>
  <si>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</si>
  <si>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</si>
  <si>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</si>
  <si>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</si>
  <si>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</si>
  <si>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</si>
  <si>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</si>
  <si>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</si>
  <si>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</si>
  <si>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</si>
  <si>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</si>
  <si>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</si>
  <si>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</si>
  <si>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</si>
  <si>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</si>
  <si>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</si>
  <si>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</si>
  <si>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</si>
  <si>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</si>
  <si>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</si>
  <si>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</si>
  <si>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</si>
  <si>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</si>
  <si>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</si>
  <si>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</si>
  <si>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</si>
  <si>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</si>
  <si>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</si>
  <si>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</si>
  <si>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</si>
  <si>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</si>
  <si>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</si>
  <si>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</si>
  <si>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</si>
  <si>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</si>
  <si>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</si>
  <si>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</si>
  <si>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</si>
  <si>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</si>
  <si>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</si>
  <si>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</si>
  <si>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</si>
  <si>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</si>
  <si>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</si>
  <si>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</si>
  <si>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</si>
  <si>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</si>
  <si>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</si>
  <si>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</si>
  <si>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</si>
  <si>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</si>
  <si>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</si>
  <si>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</si>
  <si>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</si>
  <si>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</si>
  <si>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</si>
  <si>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</si>
  <si>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</si>
  <si>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</si>
  <si>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</si>
  <si>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</si>
  <si>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</si>
  <si>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</si>
  <si>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</si>
  <si>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</si>
  <si>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</si>
  <si>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</si>
  <si>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</si>
  <si>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</si>
  <si>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</si>
  <si>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</si>
  <si>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</si>
  <si>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</si>
  <si>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</si>
  <si>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</si>
  <si>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</si>
  <si>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</si>
  <si>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</si>
  <si>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</si>
  <si>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</si>
  <si>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</si>
  <si>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</si>
  <si>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</si>
  <si>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</si>
  <si>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</si>
  <si>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</si>
  <si>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</si>
  <si>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</si>
  <si>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</si>
  <si>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</si>
  <si>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</si>
  <si>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</si>
  <si>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</si>
  <si>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</si>
  <si>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</si>
  <si>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</si>
  <si>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</si>
  <si>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</si>
  <si>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</si>
  <si>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</si>
  <si>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</si>
  <si>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</si>
  <si>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</si>
  <si>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</si>
  <si>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</si>
  <si>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</si>
  <si>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</si>
  <si>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</si>
  <si>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</si>
  <si>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</si>
  <si>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</si>
  <si>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</si>
  <si>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</si>
  <si>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</si>
  <si>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</si>
  <si>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</si>
  <si>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</si>
  <si>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</si>
  <si>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</si>
  <si>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</si>
  <si>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</si>
  <si>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</si>
  <si>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</si>
  <si>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</si>
  <si>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</si>
  <si>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</si>
  <si>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</si>
  <si>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</si>
  <si>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</si>
  <si>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</si>
  <si>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</si>
  <si>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</si>
  <si>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</si>
  <si>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</si>
  <si>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</si>
  <si>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</si>
  <si>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</si>
  <si>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</si>
  <si>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</si>
  <si>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</si>
  <si>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</si>
  <si>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</si>
  <si>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</si>
  <si>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</si>
  <si>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</si>
  <si>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</si>
  <si>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</si>
  <si>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</si>
  <si>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</si>
  <si>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</si>
  <si>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</si>
  <si>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</si>
  <si>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</si>
  <si>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</si>
  <si>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</si>
  <si>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</si>
  <si>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</si>
  <si>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</si>
  <si>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</si>
  <si>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</si>
  <si>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</si>
  <si>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</si>
  <si>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</si>
  <si>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</si>
  <si>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</si>
  <si>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</si>
  <si>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</si>
  <si>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</si>
  <si>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</si>
  <si>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</si>
  <si>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</si>
  <si>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</si>
  <si>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</si>
  <si>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</si>
  <si>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</si>
  <si>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</si>
  <si>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</si>
  <si>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</si>
  <si>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</si>
  <si>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</si>
  <si>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</si>
  <si>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</si>
  <si>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</si>
  <si>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</si>
  <si>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</si>
  <si>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</si>
  <si>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</si>
  <si>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</si>
  <si>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</si>
  <si>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</si>
  <si>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</si>
  <si>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</si>
  <si>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</si>
  <si>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</si>
  <si>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</si>
  <si>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</si>
  <si>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</si>
  <si>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</si>
  <si>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</si>
  <si>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</si>
  <si>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</si>
  <si>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</si>
  <si>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</si>
  <si>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</si>
  <si>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</si>
  <si>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</si>
  <si>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</si>
  <si>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</si>
  <si>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</si>
  <si>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</si>
  <si>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</si>
  <si>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</si>
  <si>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</si>
  <si>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</si>
  <si>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</si>
  <si>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</si>
  <si>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</si>
  <si>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</si>
  <si>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</si>
  <si>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</si>
  <si>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</si>
  <si>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</si>
  <si>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</si>
  <si>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</si>
  <si>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</si>
  <si>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</si>
  <si>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</si>
  <si>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</si>
  <si>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</si>
  <si>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</si>
  <si>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</si>
  <si>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</si>
  <si>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</si>
  <si>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</si>
  <si>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</si>
  <si>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</si>
  <si>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</si>
  <si>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</si>
  <si>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</si>
  <si>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</si>
  <si>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</si>
  <si>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</si>
  <si>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</si>
  <si>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</si>
  <si>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</si>
  <si>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</si>
  <si>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</si>
  <si>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</si>
  <si>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</si>
  <si>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</si>
  <si>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</si>
  <si>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</si>
  <si>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</si>
  <si>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</si>
  <si>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</si>
  <si>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</si>
  <si>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</si>
  <si>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</si>
  <si>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</si>
  <si>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</si>
  <si>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</si>
  <si>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</si>
  <si>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</si>
  <si>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</si>
  <si>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</si>
  <si>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</si>
  <si>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</si>
  <si>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</si>
  <si>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</si>
  <si>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</si>
  <si>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</si>
  <si>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</si>
  <si>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</si>
  <si>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</si>
  <si>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</si>
  <si>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</si>
  <si>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</si>
  <si>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</si>
  <si>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</si>
  <si>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</si>
  <si>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</si>
  <si>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</si>
  <si>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</si>
  <si>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</si>
  <si>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</si>
  <si>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</si>
  <si>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</si>
  <si>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</si>
  <si>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</si>
  <si>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</si>
  <si>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</si>
  <si>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</si>
  <si>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</si>
  <si>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</si>
  <si>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</si>
  <si>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</si>
  <si>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</si>
  <si>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</si>
  <si>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</si>
  <si>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</si>
  <si>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</si>
  <si>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</si>
  <si>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</si>
  <si>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</si>
  <si>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</si>
  <si>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</si>
  <si>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</si>
  <si>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</si>
  <si>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</si>
  <si>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</si>
  <si>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</si>
  <si>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</si>
  <si>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</si>
  <si>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</si>
  <si>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</si>
  <si>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</si>
  <si>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</si>
  <si>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</si>
  <si>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</si>
  <si>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</si>
  <si>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</si>
  <si>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</si>
  <si>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</si>
  <si>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</si>
  <si>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</si>
  <si>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</si>
  <si>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</si>
  <si>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</si>
  <si>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</si>
  <si>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</si>
  <si>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</si>
  <si>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</si>
  <si>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</si>
  <si>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</si>
  <si>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</si>
  <si>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</si>
  <si>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</si>
  <si>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</si>
  <si>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</si>
  <si>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</si>
  <si>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</si>
  <si>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</si>
  <si>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</si>
  <si>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</si>
  <si>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</si>
  <si>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</si>
  <si>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</si>
  <si>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</si>
  <si>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</si>
  <si>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</si>
  <si>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</si>
  <si>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</si>
  <si>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</si>
  <si>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</si>
  <si>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</si>
  <si>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</si>
  <si>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</si>
  <si>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</si>
  <si>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</si>
  <si>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</si>
  <si>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</si>
  <si>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</si>
  <si>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</si>
  <si>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</si>
  <si>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</si>
  <si>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</si>
  <si>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</si>
  <si>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</si>
  <si>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</si>
  <si>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</si>
  <si>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</si>
  <si>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</si>
  <si>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</si>
  <si>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</si>
  <si>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</si>
  <si>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</si>
  <si>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</si>
  <si>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</si>
  <si>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</si>
  <si>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</si>
  <si>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</si>
  <si>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</si>
  <si>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</si>
  <si>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</si>
  <si>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</si>
  <si>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</si>
  <si>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</si>
  <si>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</si>
  <si>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</si>
  <si>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</si>
  <si>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</si>
  <si>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</si>
  <si>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</si>
  <si>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</si>
  <si>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</si>
  <si>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</si>
  <si>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</si>
  <si>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</si>
  <si>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</si>
  <si>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</si>
  <si>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</si>
  <si>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</si>
  <si>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</si>
  <si>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</si>
  <si>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</si>
  <si>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</si>
  <si>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</si>
  <si>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</si>
  <si>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</si>
  <si>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</si>
  <si>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</si>
  <si>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</si>
  <si>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</si>
  <si>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</si>
  <si>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</si>
  <si>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</si>
  <si>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</si>
  <si>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</si>
  <si>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</si>
  <si>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</si>
  <si>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</si>
  <si>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</si>
  <si>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</si>
  <si>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</si>
  <si>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</si>
  <si>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</si>
  <si>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</si>
  <si>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</si>
  <si>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</si>
  <si>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</si>
  <si>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</si>
  <si>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</si>
  <si>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</si>
  <si>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</si>
  <si>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</si>
  <si>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</si>
  <si>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</si>
  <si>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</si>
  <si>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</si>
  <si>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</si>
  <si>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</si>
  <si>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</si>
  <si>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</si>
  <si>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</si>
  <si>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</si>
  <si>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</si>
  <si>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</si>
  <si>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</si>
  <si>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</si>
  <si>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</si>
  <si>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</si>
  <si>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</si>
  <si>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</si>
  <si>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</si>
  <si>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</si>
  <si>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</si>
  <si>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</si>
  <si>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</si>
  <si>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</si>
  <si>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</si>
  <si>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</si>
  <si>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</si>
  <si>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</si>
  <si>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</si>
  <si>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</si>
  <si>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</si>
  <si>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</si>
  <si>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</si>
  <si>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</si>
  <si>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</si>
  <si>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</si>
  <si>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</si>
  <si>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</si>
  <si>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</si>
  <si>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</si>
  <si>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</si>
  <si>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</si>
  <si>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</si>
  <si>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</si>
  <si>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</si>
  <si>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</si>
  <si>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</si>
  <si>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</si>
  <si>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</si>
  <si>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</si>
  <si>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</si>
  <si>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</si>
  <si>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</si>
  <si>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</si>
  <si>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</si>
  <si>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</si>
  <si>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</si>
  <si>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</si>
  <si>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</si>
  <si>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</si>
  <si>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</si>
  <si>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</si>
  <si>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</si>
  <si>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</si>
  <si>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</si>
  <si>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</si>
  <si>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</si>
  <si>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</si>
  <si>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</si>
  <si>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</si>
  <si>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</si>
  <si>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</si>
  <si>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</si>
  <si>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</si>
  <si>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</si>
  <si>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</si>
  <si>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</si>
  <si>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</si>
  <si>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</si>
  <si>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</si>
  <si>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</si>
  <si>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</si>
  <si>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</si>
  <si>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</si>
  <si>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</si>
  <si>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</si>
  <si>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</si>
  <si>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</si>
  <si>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</si>
  <si>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</si>
  <si>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</si>
  <si>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</si>
  <si>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</si>
  <si>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</si>
  <si>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</si>
  <si>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</si>
  <si>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</si>
  <si>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</si>
  <si>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</si>
  <si>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</si>
  <si>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</si>
  <si>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</si>
  <si>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</si>
  <si>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</si>
  <si>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</si>
  <si>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</si>
  <si>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</si>
  <si>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</si>
  <si>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</si>
  <si>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</si>
  <si>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</si>
  <si>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</si>
  <si>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</si>
  <si>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</si>
  <si>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</si>
  <si>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</si>
  <si>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</si>
  <si>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</si>
  <si>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</si>
  <si>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</si>
  <si>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</si>
  <si>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</si>
  <si>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</si>
  <si>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</si>
  <si>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</si>
  <si>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</si>
  <si>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</si>
  <si>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</si>
  <si>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</si>
  <si>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</si>
  <si>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</si>
  <si>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</si>
  <si>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</si>
  <si>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</si>
  <si>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</si>
  <si>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</si>
  <si>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</si>
  <si>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</si>
  <si>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</si>
  <si>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</si>
  <si>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</si>
  <si>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</si>
  <si>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</si>
  <si>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</si>
  <si>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</si>
  <si>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</si>
  <si>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</si>
  <si>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</si>
  <si>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</si>
  <si>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</si>
  <si>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</si>
  <si>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</si>
  <si>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</si>
  <si>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</si>
  <si>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</si>
  <si>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</si>
  <si>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</si>
  <si>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</si>
  <si>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</si>
  <si>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</si>
  <si>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</si>
  <si>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</si>
  <si>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</si>
  <si>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</si>
  <si>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</si>
  <si>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</si>
  <si>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</si>
  <si>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</si>
  <si>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</si>
  <si>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</si>
  <si>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</si>
  <si>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</si>
  <si>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</si>
  <si>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</si>
  <si>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</si>
  <si>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</si>
  <si>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</si>
  <si>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</si>
  <si>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</si>
  <si>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</si>
  <si>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</si>
  <si>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</si>
  <si>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</si>
  <si>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</si>
  <si>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</si>
  <si>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</si>
  <si>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</si>
  <si>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</si>
  <si>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</si>
  <si>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</si>
  <si>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</si>
  <si>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</si>
  <si>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</si>
  <si>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</si>
  <si>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</si>
  <si>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</si>
  <si>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</si>
  <si>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</si>
  <si>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</si>
  <si>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</si>
  <si>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</si>
  <si>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</si>
  <si>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</si>
  <si>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</si>
  <si>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</si>
  <si>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</si>
  <si>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</si>
  <si>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</si>
  <si>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</si>
  <si>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</si>
  <si>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</si>
  <si>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</si>
  <si>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</si>
  <si>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</si>
  <si>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</si>
  <si>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</si>
  <si>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</si>
  <si>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</si>
  <si>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</si>
  <si>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</si>
  <si>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</si>
  <si>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</si>
  <si>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</si>
  <si>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</si>
  <si>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</si>
  <si>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</si>
  <si>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</si>
  <si>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</si>
  <si>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</si>
  <si>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</si>
  <si>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</si>
  <si>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</si>
  <si>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</si>
  <si>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</si>
  <si>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</si>
  <si>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</si>
  <si>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</si>
  <si>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</si>
  <si>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</si>
  <si>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</si>
  <si>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</si>
  <si>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</si>
  <si>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</si>
  <si>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</si>
  <si>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</si>
  <si>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</si>
  <si>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</si>
  <si>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</si>
  <si>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</si>
  <si>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</si>
  <si>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</si>
  <si>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</si>
  <si>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</si>
  <si>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</si>
  <si>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</si>
  <si>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</si>
  <si>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</si>
  <si>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</si>
  <si>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</si>
  <si>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</si>
  <si>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</si>
  <si>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</si>
  <si>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</si>
  <si>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</si>
  <si>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</si>
  <si>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</si>
  <si>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</si>
  <si>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</si>
  <si>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</si>
  <si>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</si>
  <si>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</si>
  <si>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</si>
  <si>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</si>
  <si>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</si>
  <si>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</si>
  <si>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</si>
  <si>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</si>
  <si>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</si>
  <si>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</si>
  <si>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</si>
  <si>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</si>
  <si>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</si>
  <si>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</si>
  <si>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</si>
  <si>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</si>
  <si>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</si>
  <si>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</si>
  <si>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</si>
  <si>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</si>
  <si>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</si>
  <si>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</si>
  <si>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</si>
  <si>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</si>
  <si>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</si>
  <si>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</si>
  <si>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</si>
  <si>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</si>
  <si>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</si>
  <si>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</si>
  <si>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</si>
  <si>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</si>
  <si>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</si>
  <si>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</si>
  <si>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</si>
  <si>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</si>
  <si>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</si>
  <si>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</si>
  <si>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</si>
  <si>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</si>
  <si>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</si>
  <si>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</si>
  <si>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</si>
  <si>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</si>
  <si>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</si>
  <si>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</si>
  <si>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</si>
  <si>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</si>
  <si>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</si>
  <si>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</si>
  <si>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</si>
  <si>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</si>
  <si>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</si>
  <si>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</si>
  <si>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</si>
  <si>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</si>
  <si>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</si>
  <si>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</si>
  <si>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</si>
  <si>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</si>
  <si>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</si>
  <si>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</si>
  <si>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</si>
  <si>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</si>
  <si>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</si>
  <si>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</si>
  <si>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</si>
  <si>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</si>
  <si>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</si>
  <si>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</si>
  <si>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</si>
  <si>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</si>
  <si>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</si>
  <si>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</si>
  <si>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</si>
  <si>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</si>
  <si>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</si>
  <si>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</si>
  <si>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</si>
  <si>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</si>
  <si>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</si>
  <si>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</si>
  <si>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</si>
  <si>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</si>
  <si>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</si>
  <si>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</si>
  <si>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</si>
  <si>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</si>
  <si>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</si>
  <si>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</si>
  <si>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</si>
  <si>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</si>
  <si>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</si>
  <si>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</si>
  <si>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</si>
  <si>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</si>
  <si>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</si>
  <si>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</si>
  <si>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</si>
  <si>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</si>
  <si>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</si>
  <si>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</si>
  <si>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</si>
  <si>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</si>
  <si>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</si>
  <si>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</si>
  <si>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</si>
  <si>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</si>
  <si>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</si>
  <si>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</si>
  <si>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</si>
  <si>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</si>
  <si>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</si>
  <si>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</si>
  <si>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</si>
  <si>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</si>
  <si>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</si>
  <si>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</si>
  <si>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</si>
  <si>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</si>
  <si>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</si>
  <si>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</si>
  <si>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</si>
  <si>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</si>
  <si>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</si>
  <si>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</si>
  <si>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</si>
  <si>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</si>
  <si>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</si>
  <si>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</si>
  <si>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</si>
  <si>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</si>
  <si>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</si>
  <si>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</si>
  <si>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</si>
  <si>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</si>
  <si>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</si>
  <si>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</si>
  <si>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</si>
  <si>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</si>
  <si>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</si>
  <si>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</si>
  <si>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</si>
  <si>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</si>
  <si>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</si>
  <si>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</si>
  <si>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</si>
  <si>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</si>
  <si>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</si>
  <si>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</si>
  <si>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</si>
  <si>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</si>
  <si>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</si>
  <si>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</si>
  <si>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</si>
  <si>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</si>
  <si>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</si>
  <si>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</si>
  <si>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</si>
  <si>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</si>
  <si>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</si>
  <si>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</si>
  <si>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</si>
  <si>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</si>
  <si>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</si>
  <si>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</si>
  <si>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</si>
  <si>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</si>
  <si>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</si>
  <si>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</si>
  <si>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</si>
  <si>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</si>
  <si>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</si>
  <si>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</si>
  <si>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</si>
  <si>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</si>
  <si>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</si>
  <si>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</si>
  <si>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</si>
  <si>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</si>
  <si>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</si>
  <si>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</si>
  <si>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</si>
  <si>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</si>
  <si>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</si>
  <si>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</si>
  <si>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</si>
  <si>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notes</t>
  </si>
  <si>
    <t>discount</t>
  </si>
  <si>
    <t>GST</t>
  </si>
  <si>
    <t>paid</t>
  </si>
  <si>
    <t>items removed</t>
  </si>
  <si>
    <t>$20 red packet 5 Feb</t>
  </si>
  <si>
    <t>$30 SNEC: fish+grab</t>
  </si>
  <si>
    <t>Sgbike</t>
  </si>
  <si>
    <t>Laz 8Feb</t>
  </si>
  <si>
    <t>Singpower #108</t>
  </si>
  <si>
    <t>bx INCOME</t>
  </si>
  <si>
    <t>down payment from wife's account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</si>
  <si>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</si>
  <si>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</si>
  <si>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</si>
  <si>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</si>
  <si>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</si>
  <si>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</si>
  <si>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</si>
  <si>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</si>
  <si>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</si>
  <si>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</si>
  <si>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</si>
  <si>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</si>
  <si>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</si>
  <si>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</si>
  <si>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</si>
  <si>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</si>
  <si>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</si>
  <si>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</si>
  <si>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</si>
  <si>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</si>
  <si>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</si>
  <si>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</si>
  <si>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</si>
  <si>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</si>
  <si>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</si>
  <si>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</si>
  <si>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</si>
  <si>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</si>
  <si>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</si>
  <si>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</si>
  <si>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</si>
  <si>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</si>
  <si>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</si>
  <si>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</si>
  <si>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</si>
  <si>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</si>
  <si>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</si>
  <si>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</si>
  <si>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</si>
  <si>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</si>
  <si>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</si>
  <si>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</si>
  <si>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</si>
  <si>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</si>
  <si>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</si>
  <si>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</si>
  <si>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</si>
  <si>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</si>
  <si>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</si>
  <si>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</si>
  <si>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</si>
  <si>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</si>
  <si>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</si>
  <si>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</si>
  <si>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</si>
  <si>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</si>
  <si>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</si>
  <si>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</si>
  <si>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</si>
  <si>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</si>
  <si>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</si>
  <si>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</si>
  <si>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</si>
  <si>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</si>
  <si>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</si>
  <si>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</si>
  <si>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</si>
  <si>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</si>
  <si>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</si>
  <si>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</si>
  <si>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</si>
  <si>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</si>
  <si>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</si>
  <si>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</si>
  <si>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</si>
  <si>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</si>
  <si>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</si>
  <si>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</si>
  <si>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</si>
  <si>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</si>
  <si>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</si>
  <si>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</si>
  <si>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</si>
  <si>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</si>
  <si>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</si>
  <si>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</si>
  <si>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</si>
  <si>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</si>
  <si>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</si>
  <si>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</si>
  <si>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</si>
  <si>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</si>
  <si>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</si>
  <si>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</si>
  <si>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</si>
  <si>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</si>
  <si>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</si>
  <si>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</si>
  <si>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</si>
  <si>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</si>
  <si>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</si>
  <si>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</si>
  <si>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</si>
  <si>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</si>
  <si>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</si>
  <si>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</si>
  <si>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</si>
  <si>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</si>
  <si>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</si>
  <si>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</si>
  <si>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</si>
  <si>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</si>
  <si>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</si>
  <si>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</si>
  <si>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</si>
  <si>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</si>
  <si>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</si>
  <si>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</si>
  <si>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</si>
  <si>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</si>
  <si>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</si>
  <si>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</si>
  <si>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</si>
  <si>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</si>
  <si>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</si>
  <si>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</si>
  <si>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</si>
  <si>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</si>
  <si>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</si>
  <si>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</si>
  <si>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</si>
  <si>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</si>
  <si>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</si>
  <si>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</si>
  <si>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</si>
  <si>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</si>
  <si>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</si>
  <si>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</si>
  <si>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</si>
  <si>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</si>
  <si>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</si>
  <si>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</si>
  <si>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</si>
  <si>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</si>
  <si>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</si>
  <si>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</si>
  <si>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</si>
  <si>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</si>
  <si>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</si>
  <si>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</si>
  <si>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</si>
  <si>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</si>
  <si>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</si>
  <si>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</si>
  <si>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</si>
  <si>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</si>
  <si>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</si>
  <si>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</si>
  <si>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</si>
  <si>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</si>
  <si>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</si>
  <si>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</si>
  <si>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</si>
  <si>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</si>
  <si>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</si>
  <si>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</si>
  <si>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</si>
  <si>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</si>
  <si>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</si>
  <si>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</si>
  <si>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</si>
  <si>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</si>
  <si>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</si>
  <si>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</si>
  <si>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</si>
  <si>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</si>
  <si>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</si>
  <si>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</si>
  <si>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</si>
  <si>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</si>
  <si>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</si>
  <si>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</si>
  <si>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</si>
  <si>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</si>
  <si>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</si>
  <si>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</si>
  <si>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</si>
  <si>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</si>
  <si>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</si>
  <si>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</si>
  <si>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</si>
  <si>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</si>
  <si>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</si>
  <si>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</si>
  <si>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</si>
  <si>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</si>
  <si>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</si>
  <si>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</si>
  <si>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</si>
  <si>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</si>
  <si>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</si>
  <si>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</si>
  <si>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</si>
  <si>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</si>
  <si>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</si>
  <si>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</si>
  <si>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</si>
  <si>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</si>
  <si>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</si>
  <si>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</si>
  <si>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</si>
  <si>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</si>
  <si>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plastering</t>
  </si>
  <si>
    <t>2nd payment from wife's paynow</t>
  </si>
  <si>
    <t>items added</t>
  </si>
  <si>
    <t>T)total asset #mine</t>
  </si>
  <si>
    <t>SBH downpay</t>
  </si>
  <si>
    <t>SBH reno</t>
  </si>
  <si>
    <t>T-earmark`InApr</t>
  </si>
  <si>
    <t>L-shape + pull-out basket</t>
  </si>
  <si>
    <t>GST on 3 items above</t>
  </si>
  <si>
    <t xml:space="preserve">⮠  </t>
  </si>
  <si>
    <t>total additional</t>
  </si>
  <si>
    <t>sub items</t>
  </si>
  <si>
    <t>laundry room tiling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</si>
  <si>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</si>
  <si>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</si>
  <si>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</si>
  <si>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</si>
  <si>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</si>
  <si>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</si>
  <si>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</si>
  <si>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</si>
  <si>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</si>
  <si>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</si>
  <si>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</si>
  <si>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</si>
  <si>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</si>
  <si>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</si>
  <si>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</si>
  <si>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</si>
  <si>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</si>
  <si>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</si>
  <si>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</si>
  <si>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</si>
  <si>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</si>
  <si>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</si>
  <si>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</si>
  <si>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</si>
  <si>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</si>
  <si>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</si>
  <si>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</si>
  <si>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</si>
  <si>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</si>
  <si>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</si>
  <si>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</si>
  <si>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</si>
  <si>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</si>
  <si>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</si>
  <si>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</si>
  <si>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</si>
  <si>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</si>
  <si>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</si>
  <si>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</si>
  <si>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</si>
  <si>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</si>
  <si>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</si>
  <si>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</si>
  <si>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</si>
  <si>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</si>
  <si>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</si>
  <si>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</si>
  <si>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</si>
  <si>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</si>
  <si>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</si>
  <si>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</si>
  <si>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</si>
  <si>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</si>
  <si>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</si>
  <si>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</si>
  <si>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</si>
  <si>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</si>
  <si>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</si>
  <si>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</si>
  <si>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</si>
  <si>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</si>
  <si>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iron gate</t>
  </si>
  <si>
    <t>cumulative paid ^ invoiced</t>
  </si>
  <si>
    <t xml:space="preserve">EOD  outstand` </t>
  </si>
  <si>
    <t>initial package price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</si>
  <si>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</si>
  <si>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</si>
  <si>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</si>
  <si>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</si>
  <si>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</si>
  <si>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</si>
  <si>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</si>
  <si>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</si>
  <si>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</si>
  <si>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</si>
  <si>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</si>
  <si>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</si>
  <si>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</si>
  <si>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</si>
  <si>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</si>
  <si>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</si>
  <si>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</si>
  <si>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</si>
  <si>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</si>
  <si>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</si>
  <si>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</si>
  <si>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</si>
  <si>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</si>
  <si>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</si>
  <si>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</si>
  <si>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</si>
  <si>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</si>
  <si>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</si>
  <si>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</si>
  <si>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* my descriptions (so far flawless) are only visible in transction history</t>
  </si>
  <si>
    <t>.too</t>
  </si>
  <si>
    <t>.messy</t>
  </si>
  <si>
    <t>.leg</t>
  </si>
  <si>
    <t>.work</t>
  </si>
  <si>
    <t>renew</t>
  </si>
  <si>
    <t>Yes</t>
  </si>
  <si>
    <t>1. BOC online page -&gt; copy with header -&gt; paste to new excel file -&gt; copy to this sheet</t>
  </si>
  <si>
    <t>No editing please except removing unwanted rows/columns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</si>
  <si>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</si>
  <si>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</si>
  <si>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</si>
  <si>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</si>
  <si>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</si>
  <si>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</si>
  <si>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</si>
  <si>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</si>
  <si>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</si>
  <si>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</si>
  <si>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</si>
  <si>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</si>
  <si>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start</t>
  </si>
  <si>
    <t>* double-check only at the next FD placement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</si>
  <si>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</si>
  <si>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</si>
  <si>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</si>
  <si>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</si>
  <si>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</si>
  <si>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</si>
  <si>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</si>
  <si>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</si>
  <si>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</si>
  <si>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</si>
  <si>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</si>
  <si>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</si>
  <si>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</si>
  <si>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</si>
  <si>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</si>
  <si>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</si>
  <si>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</si>
  <si>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</si>
  <si>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</si>
  <si>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</si>
  <si>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</si>
  <si>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</si>
  <si>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</si>
  <si>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</si>
  <si>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</si>
  <si>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</si>
  <si>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</si>
  <si>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</si>
  <si>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</si>
  <si>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</si>
  <si>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</si>
  <si>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</si>
  <si>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</si>
  <si>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</si>
  <si>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</si>
  <si>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</si>
  <si>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</si>
  <si>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</si>
  <si>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</si>
  <si>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</si>
  <si>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</si>
  <si>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</si>
  <si>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</si>
  <si>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</si>
  <si>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</si>
  <si>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</si>
  <si>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</si>
  <si>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</si>
  <si>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</si>
  <si>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</si>
  <si>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</si>
  <si>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let's wait out</t>
  </si>
  <si>
    <t>drinks 22Oct</t>
  </si>
  <si>
    <t>ikea #23Oct</t>
  </si>
  <si>
    <t xml:space="preserve">                        ~~ SBH ~~</t>
  </si>
  <si>
    <t>allotted SSB</t>
  </si>
  <si>
    <t>allotted tBill</t>
  </si>
  <si>
    <t xml:space="preserve">electrical + GST #version 1 </t>
  </si>
  <si>
    <t>electrical + GST #version 2</t>
  </si>
  <si>
    <t>door paint</t>
  </si>
  <si>
    <t>door trim</t>
  </si>
  <si>
    <t>door-closer install x3</t>
  </si>
  <si>
    <t>glue removal #80 originally</t>
  </si>
  <si>
    <t>replaced in subsequent invoice</t>
  </si>
  <si>
    <t>bill-pay from SCB</t>
  </si>
  <si>
    <t>bill-pay from multiplier</t>
  </si>
  <si>
    <t>50% of initial, bill-pay from SCB</t>
  </si>
  <si>
    <t>GST on items above</t>
  </si>
  <si>
    <t>TV console + GST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</si>
  <si>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</si>
  <si>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</si>
  <si>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</si>
  <si>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</si>
  <si>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</si>
  <si>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</si>
  <si>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</si>
  <si>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</si>
  <si>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</si>
  <si>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</si>
  <si>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</si>
  <si>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</si>
  <si>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</si>
  <si>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</si>
  <si>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</si>
  <si>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</si>
  <si>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</si>
  <si>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</si>
  <si>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</si>
  <si>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</si>
  <si>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</si>
  <si>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</si>
  <si>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</si>
  <si>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</si>
  <si>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</si>
  <si>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</si>
  <si>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</si>
  <si>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</si>
  <si>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</si>
  <si>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</si>
  <si>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</si>
  <si>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</si>
  <si>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</si>
  <si>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updated 8 Nov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</si>
  <si>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</si>
  <si>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</si>
  <si>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</si>
  <si>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</si>
  <si>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</si>
  <si>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</si>
  <si>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</si>
  <si>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</si>
  <si>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</si>
  <si>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</si>
  <si>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</si>
  <si>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</si>
  <si>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</si>
  <si>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</si>
  <si>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</si>
  <si>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</si>
  <si>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</si>
  <si>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</si>
  <si>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</si>
  <si>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</si>
  <si>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</si>
  <si>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</si>
  <si>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</si>
  <si>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</si>
  <si>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</si>
  <si>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</si>
  <si>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</si>
  <si>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</si>
  <si>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</si>
  <si>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</si>
  <si>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</si>
  <si>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</si>
  <si>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</si>
  <si>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</si>
  <si>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</si>
  <si>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</si>
  <si>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</si>
  <si>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</si>
  <si>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</si>
  <si>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</si>
  <si>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</si>
  <si>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</si>
  <si>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</si>
  <si>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</si>
  <si>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</si>
  <si>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</si>
  <si>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</si>
  <si>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</si>
  <si>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</si>
  <si>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</si>
  <si>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</si>
  <si>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</si>
  <si>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</si>
  <si>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</si>
  <si>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</si>
  <si>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</si>
  <si>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</si>
  <si>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</si>
  <si>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</si>
  <si>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</si>
  <si>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</si>
  <si>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</si>
  <si>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 incl
SSB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</si>
  <si>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</si>
  <si>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</si>
  <si>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</si>
  <si>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</si>
  <si>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</si>
  <si>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</si>
  <si>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</si>
  <si>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</si>
  <si>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</si>
  <si>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</si>
  <si>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</si>
  <si>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</si>
  <si>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</si>
  <si>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</si>
  <si>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</si>
  <si>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ADB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</si>
  <si>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</si>
  <si>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</si>
  <si>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</si>
  <si>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</si>
  <si>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</si>
  <si>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</si>
  <si>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</si>
  <si>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</si>
  <si>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</si>
  <si>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</si>
  <si>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</si>
  <si>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</si>
  <si>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</si>
  <si>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</si>
  <si>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</si>
  <si>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</si>
  <si>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shopee refd???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</si>
  <si>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</si>
  <si>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</si>
  <si>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</si>
  <si>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</si>
  <si>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</si>
  <si>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</si>
  <si>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</si>
  <si>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</si>
  <si>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</si>
  <si>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</si>
  <si>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</si>
  <si>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</si>
  <si>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</si>
  <si>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</si>
  <si>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</si>
  <si>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</si>
  <si>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Avatar</t>
  </si>
  <si>
    <t>Hypocol</t>
  </si>
  <si>
    <t>taobao4inlaw</t>
  </si>
  <si>
    <t>dCard 14Dec</t>
  </si>
  <si>
    <t xml:space="preserve">xfer2boy </t>
  </si>
  <si>
    <t>starhub charge2reverse</t>
  </si>
  <si>
    <t>119.64-5 not yet</t>
  </si>
  <si>
    <t>5 not yet</t>
  </si>
  <si>
    <t>BOC 30k</t>
  </si>
  <si>
    <t>108}MB</t>
  </si>
  <si>
    <t>redeemed</t>
  </si>
  <si>
    <t>mid 21Dec</t>
  </si>
  <si>
    <t>book fest #MB</t>
  </si>
  <si>
    <t>yoga@34SBR</t>
  </si>
  <si>
    <t xml:space="preserve">TC_1169 #108  </t>
  </si>
  <si>
    <t>..credit bal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</si>
</sst>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dmmm"/>
    <numFmt numFmtId="176" formatCode="\+0.00;\-0.00;0"/>
    <numFmt numFmtId="177" formatCode="[$SGD]\ #,##0_);[Red]\([$SGD]\ #,##0\)"/>
    <numFmt numFmtId="178" formatCode="m/d/yy;@"/>
    <numFmt numFmtId="179" formatCode="[$-409]d\-mmm\-yyyy;@"/>
  </numFmts>
  <fonts count="84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9"/>
      <name val="Microsoft YaHei"/>
      <family val="2"/>
    </font>
    <font>
      <sz val="10"/>
      <name val="Microsoft YaHei"/>
      <family val="2"/>
    </font>
    <font>
      <strike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2" tint="-0.249977111117893"/>
      <name val="Arial"/>
      <family val="2"/>
    </font>
    <font>
      <sz val="10"/>
      <color rgb="FF333333"/>
      <name val="Arial"/>
      <family val="2"/>
    </font>
    <font>
      <sz val="11"/>
      <color theme="1"/>
      <name val="Microsoft YaHei"/>
      <family val="2"/>
    </font>
    <font>
      <strike/>
      <sz val="10"/>
      <color rgb="FF333333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/>
  </cellStyleXfs>
  <cellXfs count="73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7" fillId="6" borderId="0" xfId="0" applyFont="1" applyFill="1"/>
    <xf numFmtId="166" fontId="27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8" fillId="0" borderId="0" xfId="0" applyNumberFormat="1" applyFont="1" applyAlignment="1">
      <alignment vertical="top"/>
    </xf>
    <xf numFmtId="49" fontId="28" fillId="0" borderId="0" xfId="0" quotePrefix="1" applyNumberFormat="1" applyFont="1" applyAlignment="1">
      <alignment vertical="top"/>
    </xf>
    <xf numFmtId="0" fontId="28" fillId="0" borderId="0" xfId="0" applyFont="1" applyAlignment="1">
      <alignment vertical="top"/>
    </xf>
    <xf numFmtId="0" fontId="28" fillId="0" borderId="0" xfId="0" applyNumberFormat="1" applyFont="1" applyAlignment="1">
      <alignment vertical="top"/>
    </xf>
    <xf numFmtId="1" fontId="28" fillId="0" borderId="0" xfId="0" applyNumberFormat="1" applyFont="1" applyAlignment="1">
      <alignment vertical="top"/>
    </xf>
    <xf numFmtId="49" fontId="28" fillId="0" borderId="0" xfId="0" applyNumberFormat="1" applyFont="1" applyAlignment="1">
      <alignment vertical="top" wrapText="1"/>
    </xf>
    <xf numFmtId="0" fontId="28" fillId="0" borderId="1" xfId="0" quotePrefix="1" applyFont="1" applyBorder="1" applyAlignment="1">
      <alignment vertical="top" wrapText="1"/>
    </xf>
    <xf numFmtId="0" fontId="28" fillId="0" borderId="3" xfId="0" applyNumberFormat="1" applyFont="1" applyBorder="1" applyAlignment="1">
      <alignment vertical="top"/>
    </xf>
    <xf numFmtId="49" fontId="28" fillId="0" borderId="2" xfId="0" quotePrefix="1" applyNumberFormat="1" applyFont="1" applyBorder="1" applyAlignment="1">
      <alignment vertical="top"/>
    </xf>
    <xf numFmtId="0" fontId="28" fillId="0" borderId="4" xfId="0" applyNumberFormat="1" applyFont="1" applyBorder="1" applyAlignment="1">
      <alignment vertical="top"/>
    </xf>
    <xf numFmtId="0" fontId="28" fillId="0" borderId="2" xfId="0" quotePrefix="1" applyFont="1" applyBorder="1" applyAlignment="1">
      <alignment vertical="top"/>
    </xf>
    <xf numFmtId="0" fontId="28" fillId="0" borderId="4" xfId="0" applyNumberFormat="1" applyFont="1" applyFill="1" applyBorder="1" applyAlignment="1">
      <alignment vertical="top"/>
    </xf>
    <xf numFmtId="0" fontId="28" fillId="0" borderId="5" xfId="0" applyFont="1" applyBorder="1" applyAlignment="1">
      <alignment vertical="top"/>
    </xf>
    <xf numFmtId="0" fontId="28" fillId="0" borderId="6" xfId="0" applyNumberFormat="1" applyFont="1" applyBorder="1" applyAlignment="1">
      <alignment vertical="top"/>
    </xf>
    <xf numFmtId="0" fontId="28" fillId="0" borderId="0" xfId="0" quotePrefix="1" applyFont="1" applyBorder="1" applyAlignment="1">
      <alignment vertical="top"/>
    </xf>
    <xf numFmtId="0" fontId="28" fillId="0" borderId="0" xfId="0" quotePrefix="1" applyFont="1" applyAlignment="1">
      <alignment vertical="top"/>
    </xf>
    <xf numFmtId="0" fontId="28" fillId="0" borderId="0" xfId="0" applyNumberFormat="1" applyFont="1" applyBorder="1" applyAlignment="1">
      <alignment vertical="top"/>
    </xf>
    <xf numFmtId="0" fontId="28" fillId="0" borderId="0" xfId="0" applyFont="1" applyBorder="1" applyAlignment="1">
      <alignment vertical="top"/>
    </xf>
    <xf numFmtId="0" fontId="28" fillId="0" borderId="0" xfId="0" applyNumberFormat="1" applyFont="1" applyBorder="1" applyAlignment="1">
      <alignment horizontal="right" vertical="top"/>
    </xf>
    <xf numFmtId="0" fontId="28" fillId="0" borderId="0" xfId="0" quotePrefix="1" applyFont="1" applyFill="1" applyBorder="1" applyAlignment="1">
      <alignment vertical="top"/>
    </xf>
    <xf numFmtId="0" fontId="28" fillId="0" borderId="0" xfId="0" applyNumberFormat="1" applyFont="1" applyFill="1" applyBorder="1" applyAlignment="1">
      <alignment horizontal="right" vertical="top"/>
    </xf>
    <xf numFmtId="15" fontId="28" fillId="0" borderId="0" xfId="0" applyNumberFormat="1" applyFont="1" applyAlignment="1">
      <alignment horizontal="right" vertical="top"/>
    </xf>
    <xf numFmtId="0" fontId="28" fillId="0" borderId="0" xfId="0" applyFont="1" applyAlignment="1">
      <alignment horizontal="right" vertical="top"/>
    </xf>
    <xf numFmtId="0" fontId="0" fillId="0" borderId="0" xfId="0" applyFont="1"/>
    <xf numFmtId="0" fontId="29" fillId="0" borderId="0" xfId="0" applyFont="1"/>
    <xf numFmtId="49" fontId="29" fillId="0" borderId="12" xfId="0" applyNumberFormat="1" applyFont="1" applyBorder="1"/>
    <xf numFmtId="0" fontId="29" fillId="0" borderId="12" xfId="0" applyNumberFormat="1" applyFont="1" applyBorder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Fill="1" applyBorder="1"/>
    <xf numFmtId="0" fontId="0" fillId="4" borderId="0" xfId="0" applyFill="1" applyBorder="1"/>
    <xf numFmtId="49" fontId="30" fillId="0" borderId="0" xfId="0" quotePrefix="1" applyNumberFormat="1" applyFont="1" applyAlignment="1">
      <alignment vertical="top"/>
    </xf>
    <xf numFmtId="0" fontId="30" fillId="0" borderId="0" xfId="0" applyNumberFormat="1" applyFont="1" applyAlignment="1">
      <alignment vertical="top"/>
    </xf>
    <xf numFmtId="0" fontId="30" fillId="0" borderId="0" xfId="0" quotePrefix="1" applyFont="1" applyBorder="1" applyAlignment="1">
      <alignment vertical="top"/>
    </xf>
    <xf numFmtId="49" fontId="30" fillId="0" borderId="0" xfId="0" applyNumberFormat="1" applyFont="1" applyAlignment="1">
      <alignment vertical="top"/>
    </xf>
    <xf numFmtId="0" fontId="28" fillId="0" borderId="0" xfId="0" applyFont="1"/>
    <xf numFmtId="42" fontId="28" fillId="0" borderId="0" xfId="0" applyNumberFormat="1" applyFont="1"/>
    <xf numFmtId="0" fontId="30" fillId="0" borderId="0" xfId="0" applyFont="1"/>
    <xf numFmtId="0" fontId="31" fillId="0" borderId="0" xfId="0" applyFont="1"/>
    <xf numFmtId="0" fontId="31" fillId="0" borderId="0" xfId="0" quotePrefix="1" applyFont="1"/>
    <xf numFmtId="0" fontId="28" fillId="0" borderId="0" xfId="0" quotePrefix="1" applyFont="1"/>
    <xf numFmtId="0" fontId="30" fillId="0" borderId="0" xfId="0" quotePrefix="1" applyFont="1"/>
    <xf numFmtId="49" fontId="28" fillId="0" borderId="0" xfId="0" quotePrefix="1" applyNumberFormat="1" applyFont="1" applyAlignment="1">
      <alignment vertical="top" wrapText="1"/>
    </xf>
    <xf numFmtId="0" fontId="28" fillId="0" borderId="0" xfId="0" applyNumberFormat="1" applyFont="1"/>
    <xf numFmtId="49" fontId="29" fillId="0" borderId="7" xfId="0" applyNumberFormat="1" applyFont="1" applyBorder="1" applyAlignment="1">
      <alignment wrapText="1"/>
    </xf>
    <xf numFmtId="49" fontId="32" fillId="0" borderId="0" xfId="0" quotePrefix="1" applyNumberFormat="1" applyFont="1" applyAlignment="1">
      <alignment vertical="top"/>
    </xf>
    <xf numFmtId="0" fontId="32" fillId="0" borderId="0" xfId="0" quotePrefix="1" applyFont="1"/>
    <xf numFmtId="0" fontId="32" fillId="0" borderId="0" xfId="0" applyFont="1"/>
    <xf numFmtId="0" fontId="33" fillId="0" borderId="0" xfId="0" quotePrefix="1" applyFont="1"/>
    <xf numFmtId="0" fontId="34" fillId="0" borderId="0" xfId="0" applyFont="1"/>
    <xf numFmtId="0" fontId="34" fillId="0" borderId="0" xfId="0" quotePrefix="1" applyFont="1"/>
    <xf numFmtId="0" fontId="35" fillId="0" borderId="0" xfId="0" applyFont="1"/>
    <xf numFmtId="49" fontId="35" fillId="0" borderId="0" xfId="0" applyNumberFormat="1" applyFont="1" applyAlignment="1">
      <alignment vertical="top"/>
    </xf>
    <xf numFmtId="0" fontId="35" fillId="0" borderId="0" xfId="0" quotePrefix="1" applyFont="1"/>
    <xf numFmtId="16" fontId="34" fillId="0" borderId="0" xfId="0" applyNumberFormat="1" applyFont="1"/>
    <xf numFmtId="4" fontId="35" fillId="0" borderId="0" xfId="0" applyNumberFormat="1" applyFont="1"/>
    <xf numFmtId="3" fontId="34" fillId="0" borderId="0" xfId="0" applyNumberFormat="1" applyFont="1"/>
    <xf numFmtId="49" fontId="34" fillId="0" borderId="7" xfId="0" applyNumberFormat="1" applyFont="1" applyBorder="1"/>
    <xf numFmtId="0" fontId="34" fillId="0" borderId="7" xfId="0" applyFont="1" applyBorder="1"/>
    <xf numFmtId="49" fontId="34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9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6" fillId="0" borderId="0" xfId="0" applyFont="1"/>
    <xf numFmtId="0" fontId="37" fillId="0" borderId="0" xfId="0" applyFont="1"/>
    <xf numFmtId="0" fontId="37" fillId="0" borderId="0" xfId="0" quotePrefix="1" applyFont="1"/>
    <xf numFmtId="49" fontId="35" fillId="0" borderId="0" xfId="0" quotePrefix="1" applyNumberFormat="1" applyFont="1" applyAlignment="1">
      <alignment vertical="top"/>
    </xf>
    <xf numFmtId="49" fontId="35" fillId="0" borderId="0" xfId="0" quotePrefix="1" applyNumberFormat="1" applyFont="1" applyAlignment="1">
      <alignment vertical="top" wrapText="1"/>
    </xf>
    <xf numFmtId="0" fontId="35" fillId="0" borderId="0" xfId="0" quotePrefix="1" applyFont="1" applyAlignment="1">
      <alignment wrapText="1"/>
    </xf>
    <xf numFmtId="14" fontId="0" fillId="0" borderId="7" xfId="0" applyNumberFormat="1" applyBorder="1"/>
    <xf numFmtId="0" fontId="27" fillId="9" borderId="7" xfId="0" applyFont="1" applyFill="1" applyBorder="1"/>
    <xf numFmtId="0" fontId="34" fillId="0" borderId="0" xfId="0" applyFont="1" applyAlignment="1">
      <alignment wrapText="1"/>
    </xf>
    <xf numFmtId="49" fontId="28" fillId="0" borderId="0" xfId="0" quotePrefix="1" applyNumberFormat="1" applyFont="1" applyAlignment="1">
      <alignment wrapText="1"/>
    </xf>
    <xf numFmtId="0" fontId="38" fillId="0" borderId="0" xfId="0" applyFont="1"/>
    <xf numFmtId="0" fontId="39" fillId="0" borderId="0" xfId="0" quotePrefix="1" applyFont="1"/>
    <xf numFmtId="0" fontId="39" fillId="0" borderId="0" xfId="0" applyFont="1"/>
    <xf numFmtId="0" fontId="40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41" fillId="0" borderId="0" xfId="0" applyNumberFormat="1" applyFont="1"/>
    <xf numFmtId="0" fontId="41" fillId="0" borderId="0" xfId="0" applyFont="1"/>
    <xf numFmtId="0" fontId="42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3" fillId="0" borderId="0" xfId="0" applyFont="1" applyFill="1"/>
    <xf numFmtId="0" fontId="35" fillId="0" borderId="7" xfId="0" applyFont="1" applyFill="1" applyBorder="1"/>
    <xf numFmtId="0" fontId="35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4" fillId="0" borderId="0" xfId="0" applyNumberFormat="1" applyFont="1"/>
    <xf numFmtId="3" fontId="44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5" fillId="0" borderId="0" xfId="0" applyFont="1"/>
    <xf numFmtId="0" fontId="46" fillId="0" borderId="0" xfId="0" applyFont="1"/>
    <xf numFmtId="4" fontId="47" fillId="0" borderId="7" xfId="0" applyNumberFormat="1" applyFont="1" applyBorder="1"/>
    <xf numFmtId="166" fontId="0" fillId="0" borderId="23" xfId="0" applyNumberFormat="1" applyBorder="1"/>
    <xf numFmtId="0" fontId="48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9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50" fillId="0" borderId="0" xfId="0" applyFont="1"/>
    <xf numFmtId="0" fontId="50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7" fillId="6" borderId="7" xfId="0" applyFont="1" applyFill="1" applyBorder="1"/>
    <xf numFmtId="166" fontId="27" fillId="6" borderId="7" xfId="0" applyNumberFormat="1" applyFont="1" applyFill="1" applyBorder="1"/>
    <xf numFmtId="3" fontId="27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5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5" fillId="0" borderId="0" xfId="0" applyFont="1" applyFill="1"/>
    <xf numFmtId="0" fontId="38" fillId="0" borderId="0" xfId="0" applyFont="1" applyFill="1"/>
    <xf numFmtId="0" fontId="32" fillId="0" borderId="0" xfId="0" applyFont="1" applyFill="1"/>
    <xf numFmtId="0" fontId="46" fillId="0" borderId="0" xfId="0" applyFont="1" applyFill="1"/>
    <xf numFmtId="0" fontId="29" fillId="0" borderId="0" xfId="0" applyFont="1" applyFill="1"/>
    <xf numFmtId="0" fontId="50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7" fillId="0" borderId="0" xfId="0" applyFont="1" applyFill="1"/>
    <xf numFmtId="0" fontId="1" fillId="0" borderId="0" xfId="0" applyFont="1"/>
    <xf numFmtId="0" fontId="51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5" fillId="0" borderId="0" xfId="0" applyFont="1" applyFill="1"/>
    <xf numFmtId="0" fontId="49" fillId="0" borderId="0" xfId="0" applyFont="1" applyFill="1"/>
    <xf numFmtId="0" fontId="52" fillId="0" borderId="0" xfId="0" applyFont="1" applyFill="1"/>
    <xf numFmtId="0" fontId="53" fillId="0" borderId="0" xfId="0" applyFont="1" applyFill="1"/>
    <xf numFmtId="0" fontId="48" fillId="0" borderId="0" xfId="0" applyFont="1" applyFill="1"/>
    <xf numFmtId="49" fontId="0" fillId="0" borderId="0" xfId="0" applyNumberFormat="1" applyFont="1" applyFill="1" applyAlignment="1">
      <alignment vertical="top"/>
    </xf>
    <xf numFmtId="0" fontId="27" fillId="6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3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8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3" fillId="0" borderId="0" xfId="0" applyFont="1"/>
    <xf numFmtId="0" fontId="52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4" fillId="0" borderId="0" xfId="0" applyFont="1"/>
    <xf numFmtId="0" fontId="4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5" fillId="11" borderId="0" xfId="0" quotePrefix="1" applyFont="1" applyFill="1" applyAlignment="1">
      <alignment horizontal="center"/>
    </xf>
    <xf numFmtId="0" fontId="61" fillId="0" borderId="0" xfId="0" applyFont="1"/>
    <xf numFmtId="3" fontId="1" fillId="0" borderId="0" xfId="0" applyNumberFormat="1" applyFont="1"/>
    <xf numFmtId="0" fontId="62" fillId="0" borderId="0" xfId="3" applyFont="1"/>
    <xf numFmtId="0" fontId="62" fillId="0" borderId="0" xfId="3" applyNumberFormat="1" applyFont="1"/>
    <xf numFmtId="0" fontId="62" fillId="0" borderId="0" xfId="3" applyFont="1" applyBorder="1"/>
    <xf numFmtId="0" fontId="62" fillId="0" borderId="0" xfId="3" applyNumberFormat="1" applyFont="1" applyBorder="1"/>
    <xf numFmtId="0" fontId="62" fillId="0" borderId="7" xfId="3" applyFont="1" applyBorder="1"/>
    <xf numFmtId="0" fontId="62" fillId="0" borderId="7" xfId="3" applyNumberFormat="1" applyFont="1" applyBorder="1"/>
    <xf numFmtId="0" fontId="62" fillId="13" borderId="7" xfId="3" applyFont="1" applyFill="1" applyBorder="1"/>
    <xf numFmtId="0" fontId="62" fillId="13" borderId="7" xfId="3" applyNumberFormat="1" applyFont="1" applyFill="1" applyBorder="1"/>
    <xf numFmtId="0" fontId="62" fillId="0" borderId="0" xfId="3" applyFont="1" applyAlignment="1">
      <alignment horizontal="right"/>
    </xf>
    <xf numFmtId="0" fontId="62" fillId="0" borderId="7" xfId="3" applyFont="1" applyBorder="1" applyAlignment="1">
      <alignment horizontal="right"/>
    </xf>
    <xf numFmtId="0" fontId="62" fillId="0" borderId="21" xfId="3" applyFont="1" applyBorder="1" applyAlignment="1">
      <alignment wrapText="1"/>
    </xf>
    <xf numFmtId="0" fontId="62" fillId="0" borderId="21" xfId="3" applyFont="1" applyBorder="1" applyAlignment="1"/>
    <xf numFmtId="0" fontId="25" fillId="0" borderId="0" xfId="3"/>
    <xf numFmtId="0" fontId="25" fillId="0" borderId="12" xfId="3" applyBorder="1"/>
    <xf numFmtId="0" fontId="62" fillId="16" borderId="11" xfId="3" applyFont="1" applyFill="1" applyBorder="1" applyAlignment="1">
      <alignment vertical="top" wrapText="1"/>
    </xf>
    <xf numFmtId="3" fontId="25" fillId="0" borderId="12" xfId="3" applyNumberFormat="1" applyBorder="1"/>
    <xf numFmtId="174" fontId="62" fillId="0" borderId="0" xfId="3" applyNumberFormat="1" applyFont="1"/>
    <xf numFmtId="174" fontId="62" fillId="0" borderId="10" xfId="3" applyNumberFormat="1" applyFont="1" applyBorder="1"/>
    <xf numFmtId="174" fontId="62" fillId="0" borderId="10" xfId="3" applyNumberFormat="1" applyFont="1" applyBorder="1" applyAlignment="1">
      <alignment horizontal="right"/>
    </xf>
    <xf numFmtId="174" fontId="62" fillId="0" borderId="7" xfId="3" applyNumberFormat="1" applyFont="1" applyBorder="1" applyAlignment="1">
      <alignment horizontal="right"/>
    </xf>
    <xf numFmtId="174" fontId="62" fillId="13" borderId="7" xfId="3" applyNumberFormat="1" applyFont="1" applyFill="1" applyBorder="1" applyAlignment="1">
      <alignment horizontal="right"/>
    </xf>
    <xf numFmtId="174" fontId="62" fillId="0" borderId="0" xfId="3" applyNumberFormat="1" applyFont="1" applyBorder="1"/>
    <xf numFmtId="0" fontId="0" fillId="0" borderId="0" xfId="0" quotePrefix="1" applyFill="1" applyBorder="1"/>
    <xf numFmtId="166" fontId="25" fillId="0" borderId="0" xfId="3" applyNumberFormat="1"/>
    <xf numFmtId="166" fontId="25" fillId="0" borderId="12" xfId="3" applyNumberFormat="1" applyBorder="1"/>
    <xf numFmtId="3" fontId="25" fillId="0" borderId="0" xfId="3" applyNumberFormat="1"/>
    <xf numFmtId="3" fontId="62" fillId="13" borderId="7" xfId="3" applyNumberFormat="1" applyFont="1" applyFill="1" applyBorder="1"/>
    <xf numFmtId="170" fontId="62" fillId="13" borderId="7" xfId="3" applyNumberFormat="1" applyFont="1" applyFill="1" applyBorder="1"/>
    <xf numFmtId="0" fontId="0" fillId="0" borderId="7" xfId="0" applyBorder="1" applyAlignment="1"/>
    <xf numFmtId="166" fontId="63" fillId="0" borderId="0" xfId="3" applyNumberFormat="1" applyFont="1"/>
    <xf numFmtId="0" fontId="64" fillId="0" borderId="0" xfId="0" applyFont="1"/>
    <xf numFmtId="0" fontId="27" fillId="0" borderId="0" xfId="0" applyFont="1" applyFill="1"/>
    <xf numFmtId="0" fontId="27" fillId="17" borderId="7" xfId="0" applyFont="1" applyFill="1" applyBorder="1"/>
    <xf numFmtId="0" fontId="27" fillId="17" borderId="7" xfId="0" applyFont="1" applyFill="1" applyBorder="1" applyAlignment="1">
      <alignment wrapText="1"/>
    </xf>
    <xf numFmtId="175" fontId="0" fillId="0" borderId="7" xfId="0" applyNumberFormat="1" applyBorder="1"/>
    <xf numFmtId="175" fontId="0" fillId="0" borderId="0" xfId="0" applyNumberFormat="1"/>
    <xf numFmtId="175" fontId="27" fillId="17" borderId="7" xfId="0" applyNumberFormat="1" applyFont="1" applyFill="1" applyBorder="1" applyAlignment="1">
      <alignment wrapText="1"/>
    </xf>
    <xf numFmtId="0" fontId="0" fillId="0" borderId="24" xfId="0" applyBorder="1"/>
    <xf numFmtId="175" fontId="0" fillId="0" borderId="24" xfId="0" applyNumberFormat="1" applyBorder="1"/>
    <xf numFmtId="0" fontId="61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8" borderId="0" xfId="0" applyFill="1"/>
    <xf numFmtId="0" fontId="44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5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6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5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5" fontId="0" fillId="0" borderId="8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center"/>
    </xf>
    <xf numFmtId="172" fontId="0" fillId="0" borderId="7" xfId="0" applyNumberFormat="1" applyBorder="1"/>
    <xf numFmtId="177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62" fillId="0" borderId="0" xfId="3" applyFont="1"/>
    <xf numFmtId="0" fontId="62" fillId="0" borderId="0" xfId="3" applyFont="1" applyAlignment="1">
      <alignment horizontal="left"/>
    </xf>
    <xf numFmtId="170" fontId="62" fillId="0" borderId="7" xfId="3" applyNumberFormat="1" applyFont="1" applyBorder="1"/>
    <xf numFmtId="0" fontId="62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62" fillId="0" borderId="0" xfId="3" applyFont="1" applyAlignment="1">
      <alignment horizontal="left"/>
    </xf>
    <xf numFmtId="0" fontId="62" fillId="0" borderId="0" xfId="3" applyFont="1"/>
    <xf numFmtId="0" fontId="62" fillId="0" borderId="7" xfId="3" applyFont="1" applyBorder="1" applyAlignment="1">
      <alignment horizontal="center"/>
    </xf>
    <xf numFmtId="3" fontId="62" fillId="0" borderId="7" xfId="3" applyNumberFormat="1" applyFont="1" applyBorder="1"/>
    <xf numFmtId="0" fontId="65" fillId="0" borderId="0" xfId="3" applyFont="1" applyBorder="1"/>
    <xf numFmtId="0" fontId="62" fillId="0" borderId="7" xfId="3" applyFont="1" applyBorder="1" applyAlignment="1">
      <alignment wrapText="1"/>
    </xf>
    <xf numFmtId="0" fontId="62" fillId="0" borderId="7" xfId="3" applyNumberFormat="1" applyFont="1" applyBorder="1" applyAlignment="1">
      <alignment horizontal="right"/>
    </xf>
    <xf numFmtId="0" fontId="62" fillId="0" borderId="21" xfId="3" applyNumberFormat="1" applyFont="1" applyBorder="1" applyAlignment="1">
      <alignment horizontal="right"/>
    </xf>
    <xf numFmtId="0" fontId="62" fillId="0" borderId="0" xfId="3" applyFont="1" applyBorder="1" applyAlignment="1">
      <alignment horizontal="center"/>
    </xf>
    <xf numFmtId="0" fontId="62" fillId="16" borderId="4" xfId="3" applyFont="1" applyFill="1" applyBorder="1" applyAlignment="1">
      <alignment horizontal="center" wrapText="1"/>
    </xf>
    <xf numFmtId="0" fontId="62" fillId="0" borderId="11" xfId="3" applyNumberFormat="1" applyFont="1" applyBorder="1" applyAlignment="1">
      <alignment wrapText="1"/>
    </xf>
    <xf numFmtId="0" fontId="62" fillId="0" borderId="5" xfId="3" applyNumberFormat="1" applyFont="1" applyBorder="1" applyAlignment="1">
      <alignment wrapText="1"/>
    </xf>
    <xf numFmtId="0" fontId="62" fillId="16" borderId="5" xfId="3" applyFont="1" applyFill="1" applyBorder="1" applyAlignment="1">
      <alignment horizontal="center" wrapText="1"/>
    </xf>
    <xf numFmtId="0" fontId="66" fillId="0" borderId="0" xfId="3" applyFont="1"/>
    <xf numFmtId="0" fontId="62" fillId="0" borderId="0" xfId="3" applyFont="1" applyAlignment="1">
      <alignment horizontal="center"/>
    </xf>
    <xf numFmtId="178" fontId="62" fillId="0" borderId="7" xfId="3" applyNumberFormat="1" applyFont="1" applyBorder="1" applyAlignment="1">
      <alignment horizontal="right"/>
    </xf>
    <xf numFmtId="178" fontId="62" fillId="13" borderId="7" xfId="3" applyNumberFormat="1" applyFont="1" applyFill="1" applyBorder="1" applyAlignment="1">
      <alignment horizontal="right"/>
    </xf>
    <xf numFmtId="0" fontId="62" fillId="13" borderId="7" xfId="3" applyNumberFormat="1" applyFont="1" applyFill="1" applyBorder="1" applyAlignment="1">
      <alignment horizontal="right"/>
    </xf>
    <xf numFmtId="0" fontId="62" fillId="13" borderId="21" xfId="3" applyNumberFormat="1" applyFont="1" applyFill="1" applyBorder="1" applyAlignment="1">
      <alignment horizontal="right"/>
    </xf>
    <xf numFmtId="0" fontId="62" fillId="13" borderId="7" xfId="3" applyFont="1" applyFill="1" applyBorder="1" applyAlignment="1"/>
    <xf numFmtId="178" fontId="62" fillId="13" borderId="7" xfId="3" applyNumberFormat="1" applyFont="1" applyFill="1" applyBorder="1" applyAlignment="1">
      <alignment horizontal="left"/>
    </xf>
    <xf numFmtId="178" fontId="62" fillId="0" borderId="7" xfId="3" applyNumberFormat="1" applyFont="1" applyFill="1" applyBorder="1" applyAlignment="1">
      <alignment horizontal="right"/>
    </xf>
    <xf numFmtId="0" fontId="62" fillId="13" borderId="2" xfId="3" applyFont="1" applyFill="1" applyBorder="1" applyAlignment="1"/>
    <xf numFmtId="0" fontId="62" fillId="13" borderId="0" xfId="3" applyFont="1" applyFill="1" applyBorder="1" applyAlignment="1"/>
    <xf numFmtId="0" fontId="62" fillId="0" borderId="12" xfId="3" applyFont="1" applyBorder="1"/>
    <xf numFmtId="0" fontId="62" fillId="0" borderId="6" xfId="3" applyFont="1" applyBorder="1"/>
    <xf numFmtId="0" fontId="62" fillId="0" borderId="21" xfId="3" applyFont="1" applyBorder="1"/>
    <xf numFmtId="0" fontId="62" fillId="13" borderId="21" xfId="3" applyFont="1" applyFill="1" applyBorder="1"/>
    <xf numFmtId="0" fontId="65" fillId="0" borderId="4" xfId="3" applyFont="1" applyBorder="1"/>
    <xf numFmtId="0" fontId="62" fillId="0" borderId="7" xfId="3" applyFont="1" applyFill="1" applyBorder="1" applyAlignment="1">
      <alignment horizontal="center" wrapText="1"/>
    </xf>
    <xf numFmtId="0" fontId="62" fillId="0" borderId="7" xfId="3" applyFont="1" applyFill="1" applyBorder="1" applyAlignment="1">
      <alignment vertical="top" wrapText="1"/>
    </xf>
    <xf numFmtId="0" fontId="67" fillId="0" borderId="0" xfId="3" applyFont="1"/>
    <xf numFmtId="0" fontId="62" fillId="0" borderId="21" xfId="3" applyNumberFormat="1" applyFont="1" applyBorder="1"/>
    <xf numFmtId="0" fontId="62" fillId="13" borderId="0" xfId="3" applyFont="1" applyFill="1" applyBorder="1" applyAlignment="1">
      <alignment vertical="center"/>
    </xf>
    <xf numFmtId="170" fontId="62" fillId="0" borderId="10" xfId="3" applyNumberFormat="1" applyFont="1" applyBorder="1"/>
    <xf numFmtId="0" fontId="62" fillId="0" borderId="10" xfId="3" applyFont="1" applyBorder="1"/>
    <xf numFmtId="0" fontId="62" fillId="13" borderId="8" xfId="3" applyFont="1" applyFill="1" applyBorder="1"/>
    <xf numFmtId="0" fontId="62" fillId="0" borderId="9" xfId="3" applyFont="1" applyBorder="1"/>
    <xf numFmtId="0" fontId="62" fillId="0" borderId="1" xfId="3" applyFont="1" applyBorder="1"/>
    <xf numFmtId="0" fontId="62" fillId="0" borderId="2" xfId="3" applyFont="1" applyBorder="1"/>
    <xf numFmtId="0" fontId="62" fillId="0" borderId="0" xfId="3" applyFont="1" applyFill="1" applyBorder="1" applyAlignment="1">
      <alignment vertical="center"/>
    </xf>
    <xf numFmtId="0" fontId="68" fillId="13" borderId="2" xfId="3" applyFont="1" applyFill="1" applyBorder="1" applyAlignment="1"/>
    <xf numFmtId="0" fontId="68" fillId="13" borderId="0" xfId="3" applyFont="1" applyFill="1" applyBorder="1" applyAlignment="1">
      <alignment horizontal="left" vertical="top"/>
    </xf>
    <xf numFmtId="0" fontId="62" fillId="13" borderId="0" xfId="3" applyFont="1" applyFill="1" applyAlignment="1"/>
    <xf numFmtId="0" fontId="0" fillId="5" borderId="0" xfId="0" applyFill="1" applyBorder="1"/>
    <xf numFmtId="0" fontId="69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70" fillId="0" borderId="0" xfId="3" applyFont="1"/>
    <xf numFmtId="0" fontId="70" fillId="5" borderId="7" xfId="3" applyFont="1" applyFill="1" applyBorder="1"/>
    <xf numFmtId="174" fontId="70" fillId="5" borderId="7" xfId="3" applyNumberFormat="1" applyFont="1" applyFill="1" applyBorder="1" applyAlignment="1">
      <alignment horizontal="right"/>
    </xf>
    <xf numFmtId="0" fontId="70" fillId="5" borderId="7" xfId="3" applyNumberFormat="1" applyFont="1" applyFill="1" applyBorder="1"/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right"/>
    </xf>
    <xf numFmtId="0" fontId="70" fillId="0" borderId="0" xfId="3" applyFont="1" applyFill="1"/>
    <xf numFmtId="0" fontId="70" fillId="0" borderId="7" xfId="3" applyFont="1" applyBorder="1"/>
    <xf numFmtId="174" fontId="70" fillId="0" borderId="7" xfId="3" applyNumberFormat="1" applyFont="1" applyBorder="1"/>
    <xf numFmtId="0" fontId="70" fillId="0" borderId="7" xfId="3" applyNumberFormat="1" applyFont="1" applyBorder="1"/>
    <xf numFmtId="0" fontId="70" fillId="0" borderId="11" xfId="3" applyNumberFormat="1" applyFont="1" applyBorder="1"/>
    <xf numFmtId="0" fontId="70" fillId="0" borderId="11" xfId="3" applyFont="1" applyBorder="1"/>
    <xf numFmtId="3" fontId="70" fillId="0" borderId="11" xfId="3" applyNumberFormat="1" applyFont="1" applyBorder="1"/>
    <xf numFmtId="0" fontId="70" fillId="0" borderId="0" xfId="3" applyFont="1" applyBorder="1"/>
    <xf numFmtId="0" fontId="70" fillId="0" borderId="0" xfId="3" applyFont="1" applyAlignment="1">
      <alignment horizontal="right"/>
    </xf>
    <xf numFmtId="0" fontId="70" fillId="0" borderId="0" xfId="3" applyFont="1" applyAlignment="1">
      <alignment horizontal="left"/>
    </xf>
    <xf numFmtId="0" fontId="70" fillId="0" borderId="7" xfId="3" applyFont="1" applyFill="1" applyBorder="1"/>
    <xf numFmtId="174" fontId="70" fillId="0" borderId="7" xfId="3" applyNumberFormat="1" applyFont="1" applyFill="1" applyBorder="1"/>
    <xf numFmtId="0" fontId="70" fillId="0" borderId="7" xfId="3" applyNumberFormat="1" applyFont="1" applyFill="1" applyBorder="1"/>
    <xf numFmtId="0" fontId="71" fillId="0" borderId="7" xfId="3" applyFont="1" applyFill="1" applyBorder="1"/>
    <xf numFmtId="0" fontId="70" fillId="0" borderId="0" xfId="3" applyFont="1" applyFill="1" applyAlignment="1">
      <alignment horizontal="left"/>
    </xf>
    <xf numFmtId="174" fontId="70" fillId="0" borderId="7" xfId="3" applyNumberFormat="1" applyFont="1" applyFill="1" applyBorder="1" applyAlignment="1">
      <alignment horizontal="right"/>
    </xf>
    <xf numFmtId="0" fontId="70" fillId="0" borderId="0" xfId="3" applyFont="1" applyFill="1" applyAlignment="1">
      <alignment horizontal="left" vertical="center"/>
    </xf>
    <xf numFmtId="170" fontId="70" fillId="0" borderId="0" xfId="3" applyNumberFormat="1" applyFont="1" applyFill="1"/>
    <xf numFmtId="3" fontId="70" fillId="0" borderId="7" xfId="3" applyNumberFormat="1" applyFont="1" applyFill="1" applyBorder="1"/>
    <xf numFmtId="170" fontId="70" fillId="0" borderId="7" xfId="3" applyNumberFormat="1" applyFont="1" applyFill="1" applyBorder="1"/>
    <xf numFmtId="0" fontId="62" fillId="0" borderId="21" xfId="3" applyFont="1" applyFill="1" applyBorder="1" applyAlignment="1">
      <alignment horizontal="center" wrapText="1"/>
    </xf>
    <xf numFmtId="3" fontId="62" fillId="0" borderId="21" xfId="3" applyNumberFormat="1" applyFont="1" applyBorder="1" applyAlignment="1">
      <alignment horizontal="right"/>
    </xf>
    <xf numFmtId="0" fontId="62" fillId="0" borderId="10" xfId="3" applyFont="1" applyBorder="1" applyAlignment="1">
      <alignment horizontal="center"/>
    </xf>
    <xf numFmtId="0" fontId="72" fillId="16" borderId="12" xfId="3" applyFont="1" applyFill="1" applyBorder="1" applyAlignment="1">
      <alignment horizontal="center" wrapText="1"/>
    </xf>
    <xf numFmtId="0" fontId="73" fillId="0" borderId="0" xfId="3" applyFont="1"/>
    <xf numFmtId="0" fontId="62" fillId="13" borderId="21" xfId="3" applyNumberFormat="1" applyFont="1" applyFill="1" applyBorder="1" applyAlignment="1">
      <alignment horizontal="left"/>
    </xf>
    <xf numFmtId="170" fontId="70" fillId="0" borderId="7" xfId="3" applyNumberFormat="1" applyFont="1" applyBorder="1"/>
    <xf numFmtId="3" fontId="70" fillId="0" borderId="7" xfId="3" applyNumberFormat="1" applyFont="1" applyBorder="1"/>
    <xf numFmtId="0" fontId="74" fillId="16" borderId="12" xfId="3" applyFont="1" applyFill="1" applyBorder="1" applyAlignment="1">
      <alignment horizontal="center" wrapText="1"/>
    </xf>
    <xf numFmtId="174" fontId="70" fillId="0" borderId="7" xfId="3" applyNumberFormat="1" applyFont="1" applyBorder="1" applyAlignment="1">
      <alignment horizontal="right"/>
    </xf>
    <xf numFmtId="0" fontId="75" fillId="0" borderId="0" xfId="3" applyFont="1" applyFill="1" applyBorder="1"/>
    <xf numFmtId="0" fontId="76" fillId="0" borderId="0" xfId="3" applyFont="1"/>
    <xf numFmtId="0" fontId="76" fillId="0" borderId="7" xfId="3" applyFont="1" applyBorder="1"/>
    <xf numFmtId="174" fontId="76" fillId="0" borderId="7" xfId="3" applyNumberFormat="1" applyFont="1" applyBorder="1" applyAlignment="1">
      <alignment horizontal="right"/>
    </xf>
    <xf numFmtId="0" fontId="76" fillId="0" borderId="7" xfId="3" applyNumberFormat="1" applyFont="1" applyBorder="1"/>
    <xf numFmtId="3" fontId="76" fillId="0" borderId="7" xfId="3" applyNumberFormat="1" applyFont="1" applyBorder="1"/>
    <xf numFmtId="170" fontId="76" fillId="0" borderId="7" xfId="3" applyNumberFormat="1" applyFont="1" applyBorder="1"/>
    <xf numFmtId="0" fontId="76" fillId="0" borderId="0" xfId="3" applyFont="1" applyAlignment="1">
      <alignment horizontal="right"/>
    </xf>
    <xf numFmtId="0" fontId="76" fillId="0" borderId="0" xfId="3" applyFont="1" applyAlignment="1">
      <alignment horizontal="left"/>
    </xf>
    <xf numFmtId="0" fontId="77" fillId="0" borderId="0" xfId="3" applyFont="1" applyFill="1" applyBorder="1"/>
    <xf numFmtId="16" fontId="0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10" fontId="22" fillId="0" borderId="0" xfId="0" applyNumberFormat="1" applyFont="1"/>
    <xf numFmtId="0" fontId="22" fillId="0" borderId="7" xfId="0" applyFont="1" applyBorder="1" applyAlignment="1">
      <alignment horizontal="center"/>
    </xf>
    <xf numFmtId="0" fontId="22" fillId="0" borderId="7" xfId="0" applyFont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0" fontId="23" fillId="19" borderId="7" xfId="0" applyFont="1" applyFill="1" applyBorder="1" applyAlignment="1">
      <alignment horizontal="left" vertical="center" wrapText="1"/>
    </xf>
    <xf numFmtId="4" fontId="23" fillId="19" borderId="7" xfId="0" applyNumberFormat="1" applyFont="1" applyFill="1" applyBorder="1" applyAlignment="1">
      <alignment horizontal="right" vertical="center" wrapText="1"/>
    </xf>
    <xf numFmtId="10" fontId="23" fillId="19" borderId="7" xfId="0" applyNumberFormat="1" applyFont="1" applyFill="1" applyBorder="1" applyAlignment="1">
      <alignment horizontal="left" vertical="center" wrapText="1"/>
    </xf>
    <xf numFmtId="14" fontId="23" fillId="19" borderId="7" xfId="0" applyNumberFormat="1" applyFont="1" applyFill="1" applyBorder="1" applyAlignment="1">
      <alignment horizontal="left" vertical="center" wrapText="1"/>
    </xf>
    <xf numFmtId="6" fontId="0" fillId="0" borderId="0" xfId="0" applyNumberFormat="1" applyBorder="1" applyAlignment="1">
      <alignment horizontal="center"/>
    </xf>
    <xf numFmtId="2" fontId="0" fillId="5" borderId="5" xfId="0" applyNumberFormat="1" applyFill="1" applyBorder="1"/>
    <xf numFmtId="0" fontId="78" fillId="0" borderId="21" xfId="0" applyFont="1" applyBorder="1"/>
    <xf numFmtId="0" fontId="78" fillId="0" borderId="7" xfId="0" applyFont="1" applyBorder="1"/>
    <xf numFmtId="0" fontId="0" fillId="0" borderId="5" xfId="0" applyBorder="1"/>
    <xf numFmtId="2" fontId="0" fillId="5" borderId="7" xfId="0" applyNumberFormat="1" applyFill="1" applyBorder="1"/>
    <xf numFmtId="0" fontId="45" fillId="0" borderId="3" xfId="0" applyFont="1" applyBorder="1"/>
    <xf numFmtId="0" fontId="0" fillId="0" borderId="3" xfId="0" applyBorder="1"/>
    <xf numFmtId="0" fontId="0" fillId="5" borderId="3" xfId="0" applyFill="1" applyBorder="1"/>
    <xf numFmtId="0" fontId="0" fillId="5" borderId="5" xfId="0" applyFill="1" applyBorder="1"/>
    <xf numFmtId="4" fontId="27" fillId="17" borderId="7" xfId="0" applyNumberFormat="1" applyFont="1" applyFill="1" applyBorder="1" applyAlignment="1">
      <alignment wrapText="1"/>
    </xf>
    <xf numFmtId="4" fontId="0" fillId="0" borderId="8" xfId="0" applyNumberFormat="1" applyBorder="1"/>
    <xf numFmtId="4" fontId="0" fillId="0" borderId="24" xfId="0" applyNumberFormat="1" applyBorder="1"/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9" fontId="0" fillId="0" borderId="7" xfId="0" applyNumberFormat="1" applyFont="1" applyBorder="1" applyAlignment="1">
      <alignment horizontal="right" vertical="center"/>
    </xf>
    <xf numFmtId="179" fontId="0" fillId="0" borderId="7" xfId="0" applyNumberFormat="1" applyFont="1" applyBorder="1" applyAlignment="1">
      <alignment horizontal="right"/>
    </xf>
    <xf numFmtId="179" fontId="79" fillId="20" borderId="7" xfId="0" applyNumberFormat="1" applyFont="1" applyFill="1" applyBorder="1" applyAlignment="1">
      <alignment horizontal="right" vertical="center" wrapText="1"/>
    </xf>
    <xf numFmtId="179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4" fillId="0" borderId="0" xfId="0" applyNumberFormat="1" applyFont="1" applyFill="1"/>
    <xf numFmtId="0" fontId="80" fillId="20" borderId="7" xfId="0" applyFont="1" applyFill="1" applyBorder="1" applyAlignment="1">
      <alignment horizontal="left" vertical="center" wrapText="1"/>
    </xf>
    <xf numFmtId="4" fontId="80" fillId="20" borderId="7" xfId="0" applyNumberFormat="1" applyFont="1" applyFill="1" applyBorder="1" applyAlignment="1">
      <alignment horizontal="right" vertical="center" wrapText="1"/>
    </xf>
    <xf numFmtId="10" fontId="80" fillId="20" borderId="7" xfId="0" applyNumberFormat="1" applyFont="1" applyFill="1" applyBorder="1" applyAlignment="1">
      <alignment horizontal="left" vertical="center" wrapText="1"/>
    </xf>
    <xf numFmtId="14" fontId="80" fillId="20" borderId="7" xfId="0" applyNumberFormat="1" applyFont="1" applyFill="1" applyBorder="1" applyAlignment="1">
      <alignment horizontal="left" vertical="center" wrapText="1"/>
    </xf>
    <xf numFmtId="0" fontId="80" fillId="19" borderId="7" xfId="0" applyFont="1" applyFill="1" applyBorder="1" applyAlignment="1">
      <alignment horizontal="left" vertical="center" wrapText="1"/>
    </xf>
    <xf numFmtId="4" fontId="80" fillId="19" borderId="7" xfId="0" applyNumberFormat="1" applyFont="1" applyFill="1" applyBorder="1" applyAlignment="1">
      <alignment horizontal="right" vertical="center" wrapText="1"/>
    </xf>
    <xf numFmtId="10" fontId="80" fillId="19" borderId="7" xfId="0" applyNumberFormat="1" applyFont="1" applyFill="1" applyBorder="1" applyAlignment="1">
      <alignment horizontal="left" vertical="center" wrapText="1"/>
    </xf>
    <xf numFmtId="14" fontId="80" fillId="19" borderId="7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8" fillId="0" borderId="8" xfId="0" applyFont="1" applyBorder="1"/>
    <xf numFmtId="0" fontId="48" fillId="0" borderId="22" xfId="0" applyFont="1" applyBorder="1"/>
    <xf numFmtId="0" fontId="48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9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62" fillId="13" borderId="21" xfId="3" applyFont="1" applyFill="1" applyBorder="1" applyAlignment="1">
      <alignment horizontal="center"/>
    </xf>
    <xf numFmtId="0" fontId="62" fillId="0" borderId="7" xfId="3" applyFont="1" applyBorder="1" applyAlignment="1">
      <alignment horizontal="left" wrapText="1"/>
    </xf>
    <xf numFmtId="0" fontId="62" fillId="0" borderId="10" xfId="3" applyFont="1" applyBorder="1" applyAlignment="1">
      <alignment horizontal="right" wrapText="1"/>
    </xf>
    <xf numFmtId="0" fontId="62" fillId="0" borderId="10" xfId="3" applyFont="1" applyBorder="1" applyAlignment="1">
      <alignment horizontal="left"/>
    </xf>
    <xf numFmtId="0" fontId="24" fillId="0" borderId="7" xfId="0" applyFont="1" applyBorder="1"/>
    <xf numFmtId="4" fontId="24" fillId="0" borderId="7" xfId="0" applyNumberFormat="1" applyFont="1" applyBorder="1"/>
    <xf numFmtId="179" fontId="81" fillId="20" borderId="7" xfId="0" applyNumberFormat="1" applyFont="1" applyFill="1" applyBorder="1" applyAlignment="1">
      <alignment horizontal="right" vertical="center" wrapText="1"/>
    </xf>
    <xf numFmtId="0" fontId="24" fillId="0" borderId="0" xfId="0" applyFont="1"/>
    <xf numFmtId="4" fontId="0" fillId="0" borderId="0" xfId="0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24" borderId="0" xfId="0" applyNumberFormat="1" applyFill="1"/>
    <xf numFmtId="0" fontId="0" fillId="0" borderId="0" xfId="0" applyNumberFormat="1" applyFill="1"/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7" fillId="6" borderId="7" xfId="0" applyNumberFormat="1" applyFont="1" applyFill="1" applyBorder="1" applyAlignment="1">
      <alignment horizontal="center"/>
    </xf>
    <xf numFmtId="0" fontId="27" fillId="6" borderId="7" xfId="0" applyNumberFormat="1" applyFont="1" applyFill="1" applyBorder="1" applyAlignment="1">
      <alignment horizontal="center"/>
    </xf>
    <xf numFmtId="17" fontId="27" fillId="14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9" fillId="21" borderId="0" xfId="0" quotePrefix="1" applyFont="1" applyFill="1" applyAlignment="1">
      <alignment horizontal="center"/>
    </xf>
    <xf numFmtId="0" fontId="28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3" borderId="0" xfId="0" applyNumberFormat="1" applyFill="1" applyAlignment="1">
      <alignment horizontal="center"/>
    </xf>
    <xf numFmtId="0" fontId="0" fillId="23" borderId="0" xfId="0" applyFill="1" applyAlignment="1">
      <alignment horizontal="center"/>
    </xf>
    <xf numFmtId="0" fontId="35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4" fillId="21" borderId="0" xfId="0" quotePrefix="1" applyFont="1" applyFill="1" applyAlignment="1">
      <alignment horizontal="center"/>
    </xf>
    <xf numFmtId="0" fontId="0" fillId="22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21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82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2" fillId="0" borderId="0" xfId="0" applyFont="1"/>
    <xf numFmtId="179" fontId="0" fillId="0" borderId="8" xfId="0" applyNumberFormat="1" applyFont="1" applyBorder="1" applyAlignment="1">
      <alignment horizontal="right" vertical="center"/>
    </xf>
    <xf numFmtId="179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83" fillId="21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5" fillId="0" borderId="0" xfId="3" applyNumberFormat="1" applyAlignment="1">
      <alignment horizontal="center"/>
    </xf>
    <xf numFmtId="0" fontId="62" fillId="13" borderId="10" xfId="3" applyFont="1" applyFill="1" applyBorder="1" applyAlignment="1">
      <alignment horizontal="center"/>
    </xf>
    <xf numFmtId="0" fontId="62" fillId="13" borderId="21" xfId="3" applyFont="1" applyFill="1" applyBorder="1" applyAlignment="1">
      <alignment horizontal="center"/>
    </xf>
    <xf numFmtId="0" fontId="62" fillId="0" borderId="0" xfId="3" applyFont="1" applyAlignment="1">
      <alignment horizontal="center"/>
    </xf>
    <xf numFmtId="0" fontId="62" fillId="0" borderId="7" xfId="3" applyFont="1" applyBorder="1" applyAlignment="1">
      <alignment horizontal="center"/>
    </xf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left" vertical="center"/>
    </xf>
    <xf numFmtId="0" fontId="62" fillId="16" borderId="1" xfId="3" applyFont="1" applyFill="1" applyBorder="1" applyAlignment="1">
      <alignment horizontal="center" wrapText="1"/>
    </xf>
    <xf numFmtId="0" fontId="62" fillId="16" borderId="9" xfId="3" applyFont="1" applyFill="1" applyBorder="1" applyAlignment="1">
      <alignment horizontal="center" wrapText="1"/>
    </xf>
    <xf numFmtId="0" fontId="62" fillId="16" borderId="3" xfId="3" applyFont="1" applyFill="1" applyBorder="1" applyAlignment="1">
      <alignment horizontal="center" wrapText="1"/>
    </xf>
    <xf numFmtId="0" fontId="66" fillId="0" borderId="7" xfId="3" applyFont="1" applyBorder="1" applyAlignment="1">
      <alignment horizontal="center" vertical="top" wrapText="1"/>
    </xf>
    <xf numFmtId="0" fontId="66" fillId="0" borderId="7" xfId="3" applyFont="1" applyBorder="1" applyAlignment="1">
      <alignment horizontal="center" vertical="top"/>
    </xf>
    <xf numFmtId="0" fontId="74" fillId="16" borderId="10" xfId="3" applyFont="1" applyFill="1" applyBorder="1" applyAlignment="1">
      <alignment horizontal="center" wrapText="1"/>
    </xf>
    <xf numFmtId="0" fontId="74" fillId="16" borderId="25" xfId="3" applyFont="1" applyFill="1" applyBorder="1" applyAlignment="1">
      <alignment horizontal="center" wrapText="1"/>
    </xf>
    <xf numFmtId="0" fontId="74" fillId="16" borderId="21" xfId="3" applyFont="1" applyFill="1" applyBorder="1" applyAlignment="1">
      <alignment horizontal="center" wrapText="1"/>
    </xf>
    <xf numFmtId="0" fontId="62" fillId="0" borderId="10" xfId="3" applyFont="1" applyBorder="1" applyAlignment="1">
      <alignment horizontal="center"/>
    </xf>
    <xf numFmtId="0" fontId="62" fillId="0" borderId="21" xfId="3" applyFont="1" applyBorder="1" applyAlignment="1">
      <alignment horizontal="center"/>
    </xf>
  </cellXfs>
  <cellStyles count="4">
    <cellStyle name="Comma" xfId="1" builtinId="3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H36"/>
  <sheetViews>
    <sheetView zoomScale="118" workbookViewId="0">
      <selection activeCell="E38" sqref="E38"/>
    </sheetView>
  </sheetViews>
  <sheetFormatPr defaultRowHeight="12.75" x14ac:dyDescent="0.2"/>
  <cols>
    <col min="1" max="1" width="1.7109375" customWidth="1"/>
    <col min="2" max="2" width="9.85546875" style="52" bestFit="1" customWidth="1"/>
    <col min="3" max="3" width="6.5703125" bestFit="1" customWidth="1"/>
    <col min="4" max="4" width="9.28515625" bestFit="1" customWidth="1"/>
    <col min="5" max="5" width="9.28515625" style="413" bestFit="1" customWidth="1"/>
    <col min="6" max="6" width="9.85546875" bestFit="1" customWidth="1"/>
    <col min="7" max="7" width="8.7109375" customWidth="1"/>
    <col min="8" max="8" width="34.42578125" bestFit="1" customWidth="1"/>
  </cols>
  <sheetData>
    <row r="1" spans="2:8" ht="4.5" customHeight="1" x14ac:dyDescent="0.2"/>
    <row r="2" spans="2:8" s="409" customFormat="1" ht="25.5" x14ac:dyDescent="0.2">
      <c r="B2" s="577" t="s">
        <v>2299</v>
      </c>
      <c r="C2" s="414" t="s">
        <v>468</v>
      </c>
      <c r="D2" s="411" t="s">
        <v>2002</v>
      </c>
      <c r="E2" s="411" t="s">
        <v>2003</v>
      </c>
      <c r="F2" s="411" t="s">
        <v>2225</v>
      </c>
      <c r="G2" s="411" t="s">
        <v>2234</v>
      </c>
      <c r="H2" s="410" t="s">
        <v>1999</v>
      </c>
    </row>
    <row r="3" spans="2:8" x14ac:dyDescent="0.2">
      <c r="B3" s="90"/>
      <c r="C3" s="412">
        <v>44596</v>
      </c>
      <c r="D3" s="63"/>
      <c r="E3" s="63"/>
      <c r="F3" s="63">
        <v>32125</v>
      </c>
      <c r="G3" s="63"/>
      <c r="H3" s="63" t="s">
        <v>2300</v>
      </c>
    </row>
    <row r="4" spans="2:8" x14ac:dyDescent="0.2">
      <c r="B4" s="90"/>
      <c r="C4" s="412">
        <v>44596</v>
      </c>
      <c r="D4" s="63"/>
      <c r="E4" s="63">
        <v>-400</v>
      </c>
      <c r="F4" s="63"/>
      <c r="G4" s="63"/>
      <c r="H4" s="63" t="s">
        <v>2000</v>
      </c>
    </row>
    <row r="5" spans="2:8" x14ac:dyDescent="0.2">
      <c r="B5" s="90">
        <f>SUM(D3:F5)</f>
        <v>33945.75</v>
      </c>
      <c r="C5" s="412">
        <v>44596</v>
      </c>
      <c r="D5" s="63"/>
      <c r="E5" s="63"/>
      <c r="F5" s="63">
        <v>2220.75</v>
      </c>
      <c r="G5" s="63"/>
      <c r="H5" s="63" t="s">
        <v>2001</v>
      </c>
    </row>
    <row r="6" spans="2:8" x14ac:dyDescent="0.2">
      <c r="B6" s="90">
        <f>B5+D6</f>
        <v>31945.75</v>
      </c>
      <c r="C6" s="412">
        <v>44596</v>
      </c>
      <c r="D6" s="63">
        <v>-2000</v>
      </c>
      <c r="E6" s="63"/>
      <c r="F6" s="63"/>
      <c r="G6" s="63"/>
      <c r="H6" s="63" t="s">
        <v>2010</v>
      </c>
    </row>
    <row r="7" spans="2:8" x14ac:dyDescent="0.2">
      <c r="B7" s="90">
        <f>B6+D7</f>
        <v>30945.75</v>
      </c>
      <c r="C7" s="412">
        <v>44642</v>
      </c>
      <c r="D7" s="63">
        <v>-1000</v>
      </c>
      <c r="E7" s="63"/>
      <c r="F7" s="63"/>
      <c r="G7" s="63"/>
      <c r="H7" s="63" t="s">
        <v>2224</v>
      </c>
    </row>
    <row r="8" spans="2:8" x14ac:dyDescent="0.2">
      <c r="B8" s="90">
        <f>B7+D8</f>
        <v>13578.3</v>
      </c>
      <c r="C8" s="412">
        <v>44770</v>
      </c>
      <c r="D8" s="63">
        <v>-17367.45</v>
      </c>
      <c r="E8" s="63"/>
      <c r="F8" s="63"/>
      <c r="G8" s="63"/>
      <c r="H8" s="63" t="s">
        <v>2419</v>
      </c>
    </row>
    <row r="9" spans="2:8" x14ac:dyDescent="0.2">
      <c r="B9" s="90">
        <f>B8+E9</f>
        <v>11267.099999999999</v>
      </c>
      <c r="C9" s="412" t="s">
        <v>250</v>
      </c>
      <c r="D9" s="63"/>
      <c r="E9" s="65">
        <v>-2311.1999999999998</v>
      </c>
      <c r="F9" s="65"/>
      <c r="G9" s="65"/>
      <c r="H9" s="63" t="s">
        <v>2421</v>
      </c>
    </row>
    <row r="10" spans="2:8" x14ac:dyDescent="0.2">
      <c r="B10" s="90"/>
      <c r="C10" s="412">
        <v>44782</v>
      </c>
      <c r="D10" s="63"/>
      <c r="E10" s="63"/>
      <c r="F10" s="572">
        <v>2611.87</v>
      </c>
      <c r="G10" s="63"/>
      <c r="H10" s="109" t="s">
        <v>2410</v>
      </c>
    </row>
    <row r="11" spans="2:8" x14ac:dyDescent="0.2">
      <c r="B11" s="90"/>
      <c r="C11" s="412">
        <v>44860</v>
      </c>
      <c r="D11" s="63"/>
      <c r="E11" s="572">
        <f>-F10</f>
        <v>-2611.87</v>
      </c>
      <c r="F11" s="63"/>
      <c r="G11" s="63"/>
      <c r="H11" s="109" t="s">
        <v>2416</v>
      </c>
    </row>
    <row r="12" spans="2:8" x14ac:dyDescent="0.2">
      <c r="B12" s="90">
        <f>B9+SUM(D12:F12)</f>
        <v>13914.279999999999</v>
      </c>
      <c r="C12" s="412">
        <v>44860</v>
      </c>
      <c r="D12" s="63"/>
      <c r="E12" s="63"/>
      <c r="F12" s="572">
        <v>2647.18</v>
      </c>
      <c r="G12" s="63"/>
      <c r="H12" s="109" t="s">
        <v>2411</v>
      </c>
    </row>
    <row r="13" spans="2:8" x14ac:dyDescent="0.2">
      <c r="B13" s="90"/>
      <c r="C13" s="412"/>
      <c r="D13" s="63"/>
      <c r="E13" s="571"/>
      <c r="F13" s="103"/>
      <c r="G13" s="103"/>
      <c r="H13" s="109"/>
    </row>
    <row r="14" spans="2:8" x14ac:dyDescent="0.2">
      <c r="B14" s="90"/>
      <c r="C14" s="412">
        <v>44782</v>
      </c>
      <c r="D14" s="63"/>
      <c r="E14" s="216"/>
      <c r="F14" s="438"/>
      <c r="G14" s="439">
        <f>4010+880</f>
        <v>4890</v>
      </c>
      <c r="H14" s="569" t="s">
        <v>2235</v>
      </c>
    </row>
    <row r="15" spans="2:8" x14ac:dyDescent="0.2">
      <c r="B15" s="90"/>
      <c r="C15" s="412">
        <v>44782</v>
      </c>
      <c r="D15" s="63"/>
      <c r="E15" s="216"/>
      <c r="F15" s="438"/>
      <c r="G15" s="439">
        <f>1400+128</f>
        <v>1528</v>
      </c>
      <c r="H15" s="569" t="s">
        <v>2230</v>
      </c>
    </row>
    <row r="16" spans="2:8" x14ac:dyDescent="0.2">
      <c r="B16" s="90"/>
      <c r="C16" s="412">
        <v>44782</v>
      </c>
      <c r="D16" s="63"/>
      <c r="E16" s="216"/>
      <c r="F16" s="438"/>
      <c r="G16" s="439">
        <v>1600</v>
      </c>
      <c r="H16" s="569" t="s">
        <v>2223</v>
      </c>
    </row>
    <row r="17" spans="2:8" x14ac:dyDescent="0.2">
      <c r="B17" s="90"/>
      <c r="C17" s="412">
        <v>44782</v>
      </c>
      <c r="D17" s="63"/>
      <c r="E17" s="63"/>
      <c r="F17" s="504"/>
      <c r="G17" s="504">
        <f>SUM(G14:G16)*0.07</f>
        <v>561.2600000000001</v>
      </c>
      <c r="H17" s="570" t="s">
        <v>2231</v>
      </c>
    </row>
    <row r="18" spans="2:8" x14ac:dyDescent="0.2">
      <c r="B18" s="90">
        <f>B12+F18</f>
        <v>22493.54</v>
      </c>
      <c r="C18" s="412"/>
      <c r="D18" s="63"/>
      <c r="E18" s="216"/>
      <c r="F18" s="568">
        <f>SUM(G10:G17)</f>
        <v>8579.26</v>
      </c>
      <c r="G18" s="440" t="s">
        <v>2232</v>
      </c>
      <c r="H18" s="109" t="s">
        <v>2233</v>
      </c>
    </row>
    <row r="19" spans="2:8" x14ac:dyDescent="0.2">
      <c r="B19" s="90">
        <f>B18+SUM(D19:F19)</f>
        <v>1733.5400000000009</v>
      </c>
      <c r="C19" s="412">
        <v>44783</v>
      </c>
      <c r="D19" s="63">
        <v>-20760</v>
      </c>
      <c r="E19" s="63"/>
      <c r="F19" s="217"/>
      <c r="G19" s="217"/>
      <c r="H19" s="63" t="s">
        <v>2417</v>
      </c>
    </row>
    <row r="20" spans="2:8" x14ac:dyDescent="0.2">
      <c r="B20" s="90"/>
      <c r="C20" s="436">
        <v>44860</v>
      </c>
      <c r="D20" s="65"/>
      <c r="E20" s="10"/>
      <c r="F20" s="437"/>
      <c r="G20" s="575">
        <f>45*3</f>
        <v>135</v>
      </c>
      <c r="H20" s="573" t="s">
        <v>2414</v>
      </c>
    </row>
    <row r="21" spans="2:8" x14ac:dyDescent="0.2">
      <c r="B21" s="90"/>
      <c r="C21" s="436">
        <v>44860</v>
      </c>
      <c r="D21" s="65"/>
      <c r="E21" s="10"/>
      <c r="F21" s="438"/>
      <c r="G21" s="439">
        <v>70</v>
      </c>
      <c r="H21" s="573" t="s">
        <v>2413</v>
      </c>
    </row>
    <row r="22" spans="2:8" x14ac:dyDescent="0.2">
      <c r="B22" s="90"/>
      <c r="C22" s="436">
        <v>44860</v>
      </c>
      <c r="D22" s="65"/>
      <c r="E22" s="10"/>
      <c r="F22" s="438"/>
      <c r="G22" s="439">
        <v>700</v>
      </c>
      <c r="H22" s="573" t="s">
        <v>2297</v>
      </c>
    </row>
    <row r="23" spans="2:8" x14ac:dyDescent="0.2">
      <c r="B23" s="578"/>
      <c r="C23" s="436">
        <v>44860</v>
      </c>
      <c r="D23" s="65"/>
      <c r="E23" s="10"/>
      <c r="F23" s="438"/>
      <c r="G23" s="439">
        <v>50</v>
      </c>
      <c r="H23" s="573" t="s">
        <v>2415</v>
      </c>
    </row>
    <row r="24" spans="2:8" x14ac:dyDescent="0.2">
      <c r="B24" s="578"/>
      <c r="C24" s="436">
        <v>44860</v>
      </c>
      <c r="D24" s="65"/>
      <c r="E24" s="10"/>
      <c r="F24" s="438"/>
      <c r="G24" s="439">
        <f>160+120*3</f>
        <v>520</v>
      </c>
      <c r="H24" s="573" t="s">
        <v>2412</v>
      </c>
    </row>
    <row r="25" spans="2:8" x14ac:dyDescent="0.2">
      <c r="B25" s="578"/>
      <c r="C25" s="436"/>
      <c r="D25" s="65"/>
      <c r="E25" s="10"/>
      <c r="F25" s="438"/>
      <c r="G25" s="439">
        <v>103.25</v>
      </c>
      <c r="H25" s="573" t="s">
        <v>2420</v>
      </c>
    </row>
    <row r="26" spans="2:8" x14ac:dyDescent="0.2">
      <c r="B26" s="90">
        <f>B19+SUM(D26:F26)</f>
        <v>3311.7900000000009</v>
      </c>
      <c r="C26" s="436"/>
      <c r="D26" s="65"/>
      <c r="E26" s="10"/>
      <c r="F26" s="576">
        <f>SUM(G20:G25)</f>
        <v>1578.25</v>
      </c>
      <c r="G26" s="440" t="s">
        <v>2232</v>
      </c>
      <c r="H26" s="574"/>
    </row>
    <row r="27" spans="2:8" x14ac:dyDescent="0.2">
      <c r="B27" s="90">
        <f>B26+SUM(D27:F27)</f>
        <v>1311.7900000000009</v>
      </c>
      <c r="C27" s="436">
        <v>44860</v>
      </c>
      <c r="D27" s="65">
        <v>-2000</v>
      </c>
      <c r="E27" s="65"/>
      <c r="F27" s="86"/>
      <c r="G27" s="86"/>
      <c r="H27" s="65" t="s">
        <v>2418</v>
      </c>
    </row>
    <row r="28" spans="2:8" x14ac:dyDescent="0.2">
      <c r="B28" s="90">
        <f>B27+SUM(D28:F28)</f>
        <v>0</v>
      </c>
      <c r="C28" s="436">
        <v>44866</v>
      </c>
      <c r="D28" s="65">
        <v>-1311.79</v>
      </c>
      <c r="E28" s="65"/>
      <c r="F28" s="65"/>
      <c r="G28" s="65"/>
      <c r="H28" s="65" t="s">
        <v>2418</v>
      </c>
    </row>
    <row r="29" spans="2:8" ht="13.5" thickBot="1" x14ac:dyDescent="0.25">
      <c r="B29" s="579"/>
      <c r="C29" s="416"/>
      <c r="D29" s="415"/>
      <c r="E29" s="415"/>
      <c r="F29" s="415"/>
      <c r="G29" s="415"/>
      <c r="H29" s="415"/>
    </row>
    <row r="30" spans="2:8" s="1" customFormat="1" ht="13.5" thickTop="1" x14ac:dyDescent="0.2">
      <c r="B30" s="263"/>
      <c r="D30" s="1">
        <f>SUM(D3:D29)</f>
        <v>-44439.24</v>
      </c>
      <c r="E30" s="683">
        <f>SUM(E3:F29)</f>
        <v>44439.24</v>
      </c>
      <c r="F30" s="684"/>
      <c r="G30" s="213"/>
      <c r="H30" s="1" t="s">
        <v>2298</v>
      </c>
    </row>
    <row r="33" spans="2:8" x14ac:dyDescent="0.2">
      <c r="B33" s="650"/>
      <c r="C33" s="650"/>
      <c r="D33" s="650"/>
      <c r="E33" s="650"/>
      <c r="F33" s="650"/>
      <c r="G33" s="650"/>
      <c r="H33" s="650"/>
    </row>
    <row r="34" spans="2:8" x14ac:dyDescent="0.2">
      <c r="B34" s="650"/>
      <c r="C34" s="650"/>
      <c r="D34" s="650"/>
      <c r="E34" s="650"/>
      <c r="F34" s="650"/>
      <c r="G34" s="650"/>
      <c r="H34" s="650"/>
    </row>
    <row r="35" spans="2:8" x14ac:dyDescent="0.2">
      <c r="B35" s="650"/>
      <c r="C35" s="650"/>
      <c r="D35" s="650"/>
      <c r="E35" s="650"/>
      <c r="F35" s="650"/>
      <c r="G35" s="650"/>
      <c r="H35" s="650"/>
    </row>
    <row r="36" spans="2:8" x14ac:dyDescent="0.2">
      <c r="B36" s="650"/>
      <c r="C36" s="650"/>
      <c r="D36" s="650"/>
      <c r="E36" s="650"/>
      <c r="F36" s="650"/>
      <c r="G36" s="650"/>
      <c r="H36" s="650"/>
    </row>
  </sheetData>
  <mergeCells count="5">
    <mergeCell ref="B33:H33"/>
    <mergeCell ref="B34:H34"/>
    <mergeCell ref="B35:H35"/>
    <mergeCell ref="B36:H36"/>
    <mergeCell ref="E30:F30"/>
  </mergeCells>
  <pageMargins left="0.7" right="0.7" top="0.75" bottom="0.75" header="0.3" footer="0.3"/>
  <pageSetup paperSize="9" fitToWidth="0" orientation="landscape" r:id="rId1"/>
  <ignoredErrors>
    <ignoredError sqref="B12 B19 B2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3"/>
  <sheetViews>
    <sheetView workbookViewId="0">
      <selection activeCell="J2" sqref="J2"/>
    </sheetView>
  </sheetViews>
  <sheetFormatPr defaultRowHeight="14.25" x14ac:dyDescent="0.3"/>
  <cols>
    <col min="1" max="1" width="1.5703125" style="555" customWidth="1"/>
    <col min="2" max="2" width="4.140625" style="555" bestFit="1" customWidth="1"/>
    <col min="3" max="3" width="11.42578125" style="555" bestFit="1" customWidth="1"/>
    <col min="4" max="4" width="6" style="555" bestFit="1" customWidth="1"/>
    <col min="5" max="5" width="7.5703125" style="555" bestFit="1" customWidth="1"/>
    <col min="6" max="7" width="13.42578125" style="555" bestFit="1" customWidth="1"/>
    <col min="8" max="8" width="4.5703125" style="555" bestFit="1" customWidth="1"/>
    <col min="9" max="9" width="12" style="555" bestFit="1" customWidth="1"/>
    <col min="10" max="16384" width="9.140625" style="555"/>
  </cols>
  <sheetData>
    <row r="1" spans="2:10" ht="4.5" customHeight="1" x14ac:dyDescent="0.3"/>
    <row r="2" spans="2:10" x14ac:dyDescent="0.3">
      <c r="B2" s="558" t="s">
        <v>2325</v>
      </c>
      <c r="C2" s="558"/>
      <c r="D2" s="558" t="s">
        <v>2335</v>
      </c>
      <c r="E2" s="558"/>
      <c r="F2" s="558" t="s">
        <v>2351</v>
      </c>
      <c r="G2" s="558" t="s">
        <v>2327</v>
      </c>
      <c r="H2" s="559"/>
      <c r="I2" s="556"/>
      <c r="J2" s="555" t="s">
        <v>2455</v>
      </c>
    </row>
    <row r="3" spans="2:10" ht="16.5" x14ac:dyDescent="0.3">
      <c r="B3" s="593">
        <v>18</v>
      </c>
      <c r="C3" s="594">
        <v>30000.02</v>
      </c>
      <c r="D3" s="593" t="s">
        <v>2336</v>
      </c>
      <c r="E3" s="595">
        <v>0.02</v>
      </c>
      <c r="F3" s="596">
        <v>44825</v>
      </c>
      <c r="G3" s="596">
        <v>44916</v>
      </c>
      <c r="H3" s="559" t="s">
        <v>2340</v>
      </c>
      <c r="I3" s="557" t="s">
        <v>2404</v>
      </c>
      <c r="J3" s="557"/>
    </row>
    <row r="4" spans="2:10" ht="16.5" x14ac:dyDescent="0.3">
      <c r="B4" s="597">
        <v>21</v>
      </c>
      <c r="C4" s="598">
        <v>30000.02</v>
      </c>
      <c r="D4" s="597" t="s">
        <v>2336</v>
      </c>
      <c r="E4" s="599">
        <v>0.02</v>
      </c>
      <c r="F4" s="600">
        <v>44826</v>
      </c>
      <c r="G4" s="600">
        <v>44917</v>
      </c>
      <c r="H4" s="559" t="s">
        <v>2340</v>
      </c>
      <c r="I4" s="557" t="s">
        <v>2404</v>
      </c>
      <c r="J4" s="557"/>
    </row>
    <row r="5" spans="2:10" ht="16.5" x14ac:dyDescent="0.3">
      <c r="B5" s="593">
        <v>24</v>
      </c>
      <c r="C5" s="594">
        <v>30002.55</v>
      </c>
      <c r="D5" s="593" t="s">
        <v>2336</v>
      </c>
      <c r="E5" s="595">
        <v>2.5499999999999998E-2</v>
      </c>
      <c r="F5" s="596">
        <v>44834</v>
      </c>
      <c r="G5" s="596">
        <v>45015</v>
      </c>
      <c r="H5" s="559" t="s">
        <v>2339</v>
      </c>
      <c r="I5" s="555" t="s">
        <v>2404</v>
      </c>
    </row>
    <row r="6" spans="2:10" ht="16.5" x14ac:dyDescent="0.3">
      <c r="B6" s="597">
        <v>25</v>
      </c>
      <c r="C6" s="598">
        <v>35002.550000000003</v>
      </c>
      <c r="D6" s="597" t="s">
        <v>2336</v>
      </c>
      <c r="E6" s="599">
        <v>2.5499999999999998E-2</v>
      </c>
      <c r="F6" s="600">
        <v>44834</v>
      </c>
      <c r="G6" s="600">
        <v>45015</v>
      </c>
      <c r="H6" s="559" t="s">
        <v>2339</v>
      </c>
      <c r="I6" s="555" t="s">
        <v>2404</v>
      </c>
    </row>
    <row r="7" spans="2:10" ht="16.5" x14ac:dyDescent="0.3">
      <c r="B7" s="593"/>
      <c r="C7" s="594"/>
      <c r="D7" s="593"/>
      <c r="E7" s="595"/>
      <c r="F7" s="596"/>
      <c r="G7" s="596"/>
      <c r="H7" s="559"/>
    </row>
    <row r="8" spans="2:10" ht="16.5" x14ac:dyDescent="0.3">
      <c r="B8" s="563"/>
      <c r="C8" s="564"/>
      <c r="D8" s="563"/>
      <c r="E8" s="565"/>
      <c r="F8" s="566"/>
      <c r="G8" s="566"/>
      <c r="H8" s="559"/>
    </row>
    <row r="9" spans="2:10" x14ac:dyDescent="0.3">
      <c r="B9" s="559"/>
      <c r="C9" s="559"/>
      <c r="D9" s="559"/>
      <c r="E9" s="559"/>
      <c r="F9" s="559"/>
      <c r="G9" s="559"/>
      <c r="H9" s="559"/>
    </row>
    <row r="10" spans="2:10" x14ac:dyDescent="0.3">
      <c r="B10" s="685" t="s">
        <v>2337</v>
      </c>
      <c r="C10" s="685"/>
      <c r="D10" s="685"/>
      <c r="E10" s="685"/>
      <c r="F10" s="685"/>
      <c r="G10" s="685"/>
      <c r="H10" s="685"/>
      <c r="I10" s="685"/>
    </row>
    <row r="11" spans="2:10" x14ac:dyDescent="0.3">
      <c r="B11" s="685" t="s">
        <v>2338</v>
      </c>
      <c r="C11" s="685"/>
      <c r="D11" s="685"/>
      <c r="E11" s="685"/>
      <c r="F11" s="685"/>
      <c r="G11" s="685"/>
      <c r="H11" s="685"/>
      <c r="I11" s="685"/>
    </row>
    <row r="12" spans="2:10" x14ac:dyDescent="0.3">
      <c r="B12" s="685"/>
      <c r="C12" s="685"/>
      <c r="D12" s="685"/>
      <c r="E12" s="685"/>
      <c r="F12" s="685"/>
      <c r="G12" s="685"/>
      <c r="H12" s="685"/>
      <c r="I12" s="685"/>
    </row>
    <row r="13" spans="2:10" x14ac:dyDescent="0.3">
      <c r="B13" s="685"/>
      <c r="C13" s="685"/>
      <c r="D13" s="685"/>
      <c r="E13" s="685"/>
      <c r="F13" s="685"/>
      <c r="G13" s="685"/>
      <c r="H13" s="685"/>
      <c r="I13" s="685"/>
    </row>
  </sheetData>
  <mergeCells count="4">
    <mergeCell ref="B10:I10"/>
    <mergeCell ref="B11:I11"/>
    <mergeCell ref="B12:I12"/>
    <mergeCell ref="B13:I13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32"/>
  <sheetViews>
    <sheetView workbookViewId="0">
      <selection activeCell="F4" sqref="F4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90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84" t="s">
        <v>2325</v>
      </c>
      <c r="C2" s="584" t="s">
        <v>2326</v>
      </c>
      <c r="D2" s="584" t="s">
        <v>2339</v>
      </c>
      <c r="E2" s="587" t="s">
        <v>2327</v>
      </c>
      <c r="F2" s="584" t="s">
        <v>2340</v>
      </c>
      <c r="G2" s="591" t="s">
        <v>2341</v>
      </c>
    </row>
    <row r="3" spans="2:8" x14ac:dyDescent="0.2">
      <c r="B3" s="224">
        <v>18</v>
      </c>
      <c r="C3" s="585"/>
      <c r="D3" s="585"/>
      <c r="E3" s="588">
        <v>44916</v>
      </c>
      <c r="F3" s="585" t="s">
        <v>2578</v>
      </c>
      <c r="G3" s="585"/>
    </row>
    <row r="4" spans="2:8" x14ac:dyDescent="0.2">
      <c r="B4" s="224">
        <v>21</v>
      </c>
      <c r="C4" s="585"/>
      <c r="D4" s="585"/>
      <c r="E4" s="588">
        <v>44917</v>
      </c>
      <c r="F4" s="585">
        <v>30000.02</v>
      </c>
      <c r="G4" s="585"/>
    </row>
    <row r="5" spans="2:8" x14ac:dyDescent="0.2">
      <c r="B5" s="224">
        <v>24</v>
      </c>
      <c r="C5" s="585"/>
      <c r="D5" s="585">
        <v>30002.55</v>
      </c>
      <c r="E5" s="686">
        <v>45015</v>
      </c>
      <c r="F5" s="585"/>
      <c r="G5" s="224"/>
    </row>
    <row r="6" spans="2:8" x14ac:dyDescent="0.2">
      <c r="B6" s="224">
        <v>25</v>
      </c>
      <c r="C6" s="585"/>
      <c r="D6" s="585">
        <v>35002.550000000003</v>
      </c>
      <c r="E6" s="687"/>
      <c r="F6" s="585"/>
      <c r="G6" s="585"/>
    </row>
    <row r="7" spans="2:8" s="629" customFormat="1" x14ac:dyDescent="0.2">
      <c r="B7" s="626">
        <v>34</v>
      </c>
      <c r="C7" s="627"/>
      <c r="D7" s="627"/>
      <c r="E7" s="628">
        <v>44985</v>
      </c>
      <c r="G7" s="627"/>
      <c r="H7" s="627">
        <v>5003.6499999999996</v>
      </c>
    </row>
    <row r="8" spans="2:8" s="629" customFormat="1" x14ac:dyDescent="0.2">
      <c r="B8" s="626">
        <v>35</v>
      </c>
      <c r="C8" s="627"/>
      <c r="D8" s="627"/>
      <c r="E8" s="628">
        <v>44986</v>
      </c>
      <c r="G8" s="627"/>
      <c r="H8" s="627">
        <v>10003.65</v>
      </c>
    </row>
    <row r="9" spans="2:8" s="629" customFormat="1" x14ac:dyDescent="0.2">
      <c r="B9" s="626">
        <v>36</v>
      </c>
      <c r="C9" s="627"/>
      <c r="D9" s="627"/>
      <c r="E9" s="628">
        <v>44987</v>
      </c>
      <c r="G9" s="627"/>
      <c r="H9" s="627">
        <v>50003.65</v>
      </c>
    </row>
    <row r="10" spans="2:8" s="629" customFormat="1" x14ac:dyDescent="0.2">
      <c r="B10" s="626">
        <v>37</v>
      </c>
      <c r="C10" s="627"/>
      <c r="D10" s="627"/>
      <c r="E10" s="628">
        <v>44987</v>
      </c>
      <c r="G10" s="627"/>
      <c r="H10" s="627">
        <v>50003.66</v>
      </c>
    </row>
    <row r="11" spans="2:8" s="629" customFormat="1" x14ac:dyDescent="0.2">
      <c r="B11" s="626">
        <v>38</v>
      </c>
      <c r="C11" s="627"/>
      <c r="D11" s="627"/>
      <c r="E11" s="628">
        <v>44987</v>
      </c>
      <c r="G11" s="627"/>
      <c r="H11" s="627">
        <v>50003.67</v>
      </c>
    </row>
    <row r="12" spans="2:8" s="629" customFormat="1" x14ac:dyDescent="0.2">
      <c r="B12" s="626">
        <v>39</v>
      </c>
      <c r="C12" s="627"/>
      <c r="D12" s="627"/>
      <c r="E12" s="628">
        <v>44987</v>
      </c>
      <c r="G12" s="627"/>
      <c r="H12" s="627">
        <v>50003.68</v>
      </c>
    </row>
    <row r="13" spans="2:8" s="629" customFormat="1" x14ac:dyDescent="0.2">
      <c r="B13" s="626">
        <v>40</v>
      </c>
      <c r="C13" s="627"/>
      <c r="D13" s="627"/>
      <c r="E13" s="628">
        <v>44988</v>
      </c>
      <c r="G13" s="627"/>
      <c r="H13" s="627">
        <v>20003.650000000001</v>
      </c>
    </row>
    <row r="14" spans="2:8" x14ac:dyDescent="0.2">
      <c r="B14" s="224"/>
      <c r="C14" s="585"/>
      <c r="D14" s="585"/>
      <c r="E14" s="589"/>
      <c r="F14" s="585"/>
      <c r="G14" s="585"/>
    </row>
    <row r="15" spans="2:8" x14ac:dyDescent="0.2">
      <c r="B15" s="224"/>
      <c r="C15" s="585"/>
      <c r="D15" s="585"/>
      <c r="E15" s="589"/>
      <c r="F15" s="585"/>
      <c r="G15" s="585"/>
    </row>
    <row r="17" spans="2:8" ht="3.75" customHeight="1" x14ac:dyDescent="0.2">
      <c r="C17" s="248"/>
      <c r="D17" s="248"/>
      <c r="F17" s="248"/>
    </row>
    <row r="18" spans="2:8" x14ac:dyDescent="0.2">
      <c r="C18" s="586">
        <f>SUM(C3:C15)</f>
        <v>0</v>
      </c>
      <c r="D18" s="586">
        <f>SUM(D3:D15)</f>
        <v>65005.100000000006</v>
      </c>
      <c r="E18" s="590" t="s">
        <v>2329</v>
      </c>
      <c r="F18" s="586">
        <f>SUM(F3:F15)</f>
        <v>30000.02</v>
      </c>
      <c r="G18" s="586">
        <f>SUM(G3:G15)</f>
        <v>0</v>
      </c>
    </row>
    <row r="19" spans="2:8" x14ac:dyDescent="0.2">
      <c r="C19" s="689">
        <f>SUM(C18:D18)</f>
        <v>65005.100000000006</v>
      </c>
      <c r="D19" s="689"/>
      <c r="F19" s="689">
        <f>SUM(F18:G18)</f>
        <v>30000.02</v>
      </c>
      <c r="G19" s="689"/>
    </row>
    <row r="20" spans="2:8" x14ac:dyDescent="0.2">
      <c r="C20" s="248"/>
      <c r="D20" s="248"/>
      <c r="F20" s="248"/>
    </row>
    <row r="21" spans="2:8" x14ac:dyDescent="0.2">
      <c r="B21" s="688"/>
      <c r="C21" s="688"/>
      <c r="D21" s="688"/>
      <c r="E21" s="688"/>
      <c r="F21" s="688"/>
      <c r="G21" s="688"/>
      <c r="H21" s="688"/>
    </row>
    <row r="22" spans="2:8" x14ac:dyDescent="0.2">
      <c r="B22" s="688" t="s">
        <v>2330</v>
      </c>
      <c r="C22" s="688"/>
      <c r="D22" s="688"/>
      <c r="E22" s="688"/>
      <c r="F22" s="688"/>
      <c r="G22" s="688"/>
      <c r="H22" s="688"/>
    </row>
    <row r="23" spans="2:8" x14ac:dyDescent="0.2">
      <c r="B23" s="688" t="s">
        <v>2352</v>
      </c>
      <c r="C23" s="688"/>
      <c r="D23" s="688"/>
      <c r="E23" s="688"/>
      <c r="F23" s="688"/>
      <c r="G23" s="688"/>
      <c r="H23" s="688"/>
    </row>
    <row r="24" spans="2:8" x14ac:dyDescent="0.2">
      <c r="B24" s="688"/>
      <c r="C24" s="688"/>
      <c r="D24" s="688"/>
      <c r="E24" s="688"/>
      <c r="F24" s="688"/>
      <c r="G24" s="688"/>
      <c r="H24" s="688"/>
    </row>
    <row r="32" spans="2:8" x14ac:dyDescent="0.2">
      <c r="D32" s="590"/>
    </row>
  </sheetData>
  <mergeCells count="7">
    <mergeCell ref="E5:E6"/>
    <mergeCell ref="B24:H24"/>
    <mergeCell ref="C19:D19"/>
    <mergeCell ref="F19:G19"/>
    <mergeCell ref="B21:H21"/>
    <mergeCell ref="B22:H22"/>
    <mergeCell ref="B23:H2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77"/>
  <sheetViews>
    <sheetView tabSelected="1" topLeftCell="IM1" zoomScale="115" zoomScaleNormal="115" workbookViewId="0">
      <selection activeCell="IS18" sqref="IS1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customWidth="1"/>
  </cols>
  <sheetData>
    <row r="1" spans="1:256" s="145" customFormat="1" x14ac:dyDescent="0.2">
      <c r="A1" s="695" t="s">
        <v>1243</v>
      </c>
      <c r="B1" s="695"/>
      <c r="C1" s="664" t="s">
        <v>292</v>
      </c>
      <c r="D1" s="664"/>
      <c r="E1" s="662" t="s">
        <v>1022</v>
      </c>
      <c r="F1" s="662"/>
      <c r="G1" s="695" t="s">
        <v>1244</v>
      </c>
      <c r="H1" s="695"/>
      <c r="I1" s="664" t="s">
        <v>292</v>
      </c>
      <c r="J1" s="664"/>
      <c r="K1" s="662" t="s">
        <v>1023</v>
      </c>
      <c r="L1" s="662"/>
      <c r="M1" s="695" t="s">
        <v>1245</v>
      </c>
      <c r="N1" s="695"/>
      <c r="O1" s="664" t="s">
        <v>292</v>
      </c>
      <c r="P1" s="664"/>
      <c r="Q1" s="662" t="s">
        <v>1078</v>
      </c>
      <c r="R1" s="662"/>
      <c r="S1" s="695" t="s">
        <v>1246</v>
      </c>
      <c r="T1" s="695"/>
      <c r="U1" s="664" t="s">
        <v>292</v>
      </c>
      <c r="V1" s="664"/>
      <c r="W1" s="662" t="s">
        <v>635</v>
      </c>
      <c r="X1" s="662"/>
      <c r="Y1" s="695" t="s">
        <v>1247</v>
      </c>
      <c r="Z1" s="695"/>
      <c r="AA1" s="664" t="s">
        <v>292</v>
      </c>
      <c r="AB1" s="664"/>
      <c r="AC1" s="662" t="s">
        <v>1105</v>
      </c>
      <c r="AD1" s="662"/>
      <c r="AE1" s="695" t="s">
        <v>1248</v>
      </c>
      <c r="AF1" s="695"/>
      <c r="AG1" s="664" t="s">
        <v>292</v>
      </c>
      <c r="AH1" s="664"/>
      <c r="AI1" s="662" t="s">
        <v>1155</v>
      </c>
      <c r="AJ1" s="662"/>
      <c r="AK1" s="695" t="s">
        <v>1251</v>
      </c>
      <c r="AL1" s="695"/>
      <c r="AM1" s="664" t="s">
        <v>1153</v>
      </c>
      <c r="AN1" s="664"/>
      <c r="AO1" s="662" t="s">
        <v>1154</v>
      </c>
      <c r="AP1" s="662"/>
      <c r="AQ1" s="695" t="s">
        <v>1252</v>
      </c>
      <c r="AR1" s="695"/>
      <c r="AS1" s="664" t="s">
        <v>1153</v>
      </c>
      <c r="AT1" s="664"/>
      <c r="AU1" s="662" t="s">
        <v>1199</v>
      </c>
      <c r="AV1" s="662"/>
      <c r="AW1" s="695" t="s">
        <v>1249</v>
      </c>
      <c r="AX1" s="695"/>
      <c r="AY1" s="662" t="s">
        <v>1275</v>
      </c>
      <c r="AZ1" s="662"/>
      <c r="BA1" s="695" t="s">
        <v>1249</v>
      </c>
      <c r="BB1" s="695"/>
      <c r="BC1" s="664" t="s">
        <v>824</v>
      </c>
      <c r="BD1" s="664"/>
      <c r="BE1" s="662" t="s">
        <v>1242</v>
      </c>
      <c r="BF1" s="662"/>
      <c r="BG1" s="695" t="s">
        <v>1250</v>
      </c>
      <c r="BH1" s="695"/>
      <c r="BI1" s="664" t="s">
        <v>824</v>
      </c>
      <c r="BJ1" s="664"/>
      <c r="BK1" s="662" t="s">
        <v>1242</v>
      </c>
      <c r="BL1" s="662"/>
      <c r="BM1" s="695" t="s">
        <v>1260</v>
      </c>
      <c r="BN1" s="695"/>
      <c r="BO1" s="664" t="s">
        <v>824</v>
      </c>
      <c r="BP1" s="664"/>
      <c r="BQ1" s="662" t="s">
        <v>1278</v>
      </c>
      <c r="BR1" s="662"/>
      <c r="BS1" s="695" t="s">
        <v>1277</v>
      </c>
      <c r="BT1" s="695"/>
      <c r="BU1" s="664" t="s">
        <v>824</v>
      </c>
      <c r="BV1" s="664"/>
      <c r="BW1" s="662" t="s">
        <v>1282</v>
      </c>
      <c r="BX1" s="662"/>
      <c r="BY1" s="695" t="s">
        <v>1304</v>
      </c>
      <c r="BZ1" s="695"/>
      <c r="CA1" s="664" t="s">
        <v>824</v>
      </c>
      <c r="CB1" s="664"/>
      <c r="CC1" s="662" t="s">
        <v>1278</v>
      </c>
      <c r="CD1" s="662"/>
      <c r="CE1" s="695" t="s">
        <v>1325</v>
      </c>
      <c r="CF1" s="695"/>
      <c r="CG1" s="664" t="s">
        <v>824</v>
      </c>
      <c r="CH1" s="664"/>
      <c r="CI1" s="662" t="s">
        <v>1282</v>
      </c>
      <c r="CJ1" s="662"/>
      <c r="CK1" s="695" t="s">
        <v>1341</v>
      </c>
      <c r="CL1" s="695"/>
      <c r="CM1" s="664" t="s">
        <v>824</v>
      </c>
      <c r="CN1" s="664"/>
      <c r="CO1" s="662" t="s">
        <v>1278</v>
      </c>
      <c r="CP1" s="662"/>
      <c r="CQ1" s="695" t="s">
        <v>1369</v>
      </c>
      <c r="CR1" s="695"/>
      <c r="CS1" s="690" t="s">
        <v>824</v>
      </c>
      <c r="CT1" s="690"/>
      <c r="CU1" s="662" t="s">
        <v>1425</v>
      </c>
      <c r="CV1" s="662"/>
      <c r="CW1" s="695" t="s">
        <v>1408</v>
      </c>
      <c r="CX1" s="695"/>
      <c r="CY1" s="690" t="s">
        <v>824</v>
      </c>
      <c r="CZ1" s="690"/>
      <c r="DA1" s="662" t="s">
        <v>1632</v>
      </c>
      <c r="DB1" s="662"/>
      <c r="DC1" s="695" t="s">
        <v>1428</v>
      </c>
      <c r="DD1" s="695"/>
      <c r="DE1" s="690" t="s">
        <v>824</v>
      </c>
      <c r="DF1" s="690"/>
      <c r="DG1" s="662" t="s">
        <v>1526</v>
      </c>
      <c r="DH1" s="662"/>
      <c r="DI1" s="695" t="s">
        <v>1629</v>
      </c>
      <c r="DJ1" s="695"/>
      <c r="DK1" s="690" t="s">
        <v>824</v>
      </c>
      <c r="DL1" s="690"/>
      <c r="DM1" s="662" t="s">
        <v>1425</v>
      </c>
      <c r="DN1" s="662"/>
      <c r="DO1" s="695" t="s">
        <v>1630</v>
      </c>
      <c r="DP1" s="695"/>
      <c r="DQ1" s="690" t="s">
        <v>824</v>
      </c>
      <c r="DR1" s="690"/>
      <c r="DS1" s="662" t="s">
        <v>1625</v>
      </c>
      <c r="DT1" s="662"/>
      <c r="DU1" s="695" t="s">
        <v>1631</v>
      </c>
      <c r="DV1" s="695"/>
      <c r="DW1" s="690" t="s">
        <v>824</v>
      </c>
      <c r="DX1" s="690"/>
      <c r="DY1" s="662" t="s">
        <v>1651</v>
      </c>
      <c r="DZ1" s="662"/>
      <c r="EA1" s="691" t="s">
        <v>1646</v>
      </c>
      <c r="EB1" s="691"/>
      <c r="EC1" s="690" t="s">
        <v>824</v>
      </c>
      <c r="ED1" s="690"/>
      <c r="EE1" s="662" t="s">
        <v>1625</v>
      </c>
      <c r="EF1" s="662"/>
      <c r="EG1" s="375"/>
      <c r="EH1" s="691" t="s">
        <v>1676</v>
      </c>
      <c r="EI1" s="691"/>
      <c r="EJ1" s="690" t="s">
        <v>824</v>
      </c>
      <c r="EK1" s="690"/>
      <c r="EL1" s="662" t="s">
        <v>1710</v>
      </c>
      <c r="EM1" s="662"/>
      <c r="EN1" s="691" t="s">
        <v>1701</v>
      </c>
      <c r="EO1" s="691"/>
      <c r="EP1" s="690" t="s">
        <v>824</v>
      </c>
      <c r="EQ1" s="690"/>
      <c r="ER1" s="662" t="s">
        <v>1750</v>
      </c>
      <c r="ES1" s="662"/>
      <c r="ET1" s="691" t="s">
        <v>1743</v>
      </c>
      <c r="EU1" s="691"/>
      <c r="EV1" s="690" t="s">
        <v>824</v>
      </c>
      <c r="EW1" s="690"/>
      <c r="EX1" s="662" t="s">
        <v>1651</v>
      </c>
      <c r="EY1" s="662"/>
      <c r="EZ1" s="691" t="s">
        <v>1778</v>
      </c>
      <c r="FA1" s="691"/>
      <c r="FB1" s="690" t="s">
        <v>824</v>
      </c>
      <c r="FC1" s="690"/>
      <c r="FD1" s="662" t="s">
        <v>1632</v>
      </c>
      <c r="FE1" s="662"/>
      <c r="FF1" s="691" t="s">
        <v>1817</v>
      </c>
      <c r="FG1" s="691"/>
      <c r="FH1" s="690" t="s">
        <v>824</v>
      </c>
      <c r="FI1" s="690"/>
      <c r="FJ1" s="662" t="s">
        <v>1425</v>
      </c>
      <c r="FK1" s="662"/>
      <c r="FL1" s="691" t="s">
        <v>1852</v>
      </c>
      <c r="FM1" s="691"/>
      <c r="FN1" s="690" t="s">
        <v>824</v>
      </c>
      <c r="FO1" s="690"/>
      <c r="FP1" s="662" t="s">
        <v>1899</v>
      </c>
      <c r="FQ1" s="662"/>
      <c r="FR1" s="691" t="s">
        <v>1888</v>
      </c>
      <c r="FS1" s="691"/>
      <c r="FT1" s="690" t="s">
        <v>824</v>
      </c>
      <c r="FU1" s="690"/>
      <c r="FV1" s="662" t="s">
        <v>1899</v>
      </c>
      <c r="FW1" s="662"/>
      <c r="FX1" s="691" t="s">
        <v>2038</v>
      </c>
      <c r="FY1" s="691"/>
      <c r="FZ1" s="690" t="s">
        <v>824</v>
      </c>
      <c r="GA1" s="690"/>
      <c r="GB1" s="662" t="s">
        <v>1651</v>
      </c>
      <c r="GC1" s="662"/>
      <c r="GD1" s="691" t="s">
        <v>2039</v>
      </c>
      <c r="GE1" s="691"/>
      <c r="GF1" s="690" t="s">
        <v>824</v>
      </c>
      <c r="GG1" s="690"/>
      <c r="GH1" s="662" t="s">
        <v>1625</v>
      </c>
      <c r="GI1" s="662"/>
      <c r="GJ1" s="691" t="s">
        <v>2048</v>
      </c>
      <c r="GK1" s="691"/>
      <c r="GL1" s="690" t="s">
        <v>824</v>
      </c>
      <c r="GM1" s="690"/>
      <c r="GN1" s="662" t="s">
        <v>1783</v>
      </c>
      <c r="GO1" s="662"/>
      <c r="GP1" s="691" t="s">
        <v>2090</v>
      </c>
      <c r="GQ1" s="691"/>
      <c r="GR1" s="690" t="s">
        <v>824</v>
      </c>
      <c r="GS1" s="690"/>
      <c r="GT1" s="662" t="s">
        <v>1710</v>
      </c>
      <c r="GU1" s="662"/>
      <c r="GV1" s="691" t="s">
        <v>2124</v>
      </c>
      <c r="GW1" s="691"/>
      <c r="GX1" s="690" t="s">
        <v>824</v>
      </c>
      <c r="GY1" s="690"/>
      <c r="GZ1" s="662" t="s">
        <v>2163</v>
      </c>
      <c r="HA1" s="662"/>
      <c r="HB1" s="691" t="s">
        <v>2183</v>
      </c>
      <c r="HC1" s="691"/>
      <c r="HD1" s="690" t="s">
        <v>824</v>
      </c>
      <c r="HE1" s="690"/>
      <c r="HF1" s="662" t="s">
        <v>1750</v>
      </c>
      <c r="HG1" s="662"/>
      <c r="HH1" s="691" t="s">
        <v>2196</v>
      </c>
      <c r="HI1" s="691"/>
      <c r="HJ1" s="690" t="s">
        <v>824</v>
      </c>
      <c r="HK1" s="690"/>
      <c r="HL1" s="662" t="s">
        <v>1425</v>
      </c>
      <c r="HM1" s="662"/>
      <c r="HN1" s="691" t="s">
        <v>2251</v>
      </c>
      <c r="HO1" s="691"/>
      <c r="HP1" s="690" t="s">
        <v>824</v>
      </c>
      <c r="HQ1" s="690"/>
      <c r="HR1" s="662" t="s">
        <v>1425</v>
      </c>
      <c r="HS1" s="662"/>
      <c r="HT1" s="691" t="s">
        <v>2311</v>
      </c>
      <c r="HU1" s="691"/>
      <c r="HV1" s="690" t="s">
        <v>824</v>
      </c>
      <c r="HW1" s="690"/>
      <c r="HX1" s="662" t="s">
        <v>1651</v>
      </c>
      <c r="HY1" s="662"/>
      <c r="HZ1" s="691" t="s">
        <v>2388</v>
      </c>
      <c r="IA1" s="691"/>
      <c r="IB1" s="690" t="s">
        <v>824</v>
      </c>
      <c r="IC1" s="690"/>
      <c r="ID1" s="662" t="s">
        <v>1750</v>
      </c>
      <c r="IE1" s="662"/>
      <c r="IF1" s="691" t="s">
        <v>2470</v>
      </c>
      <c r="IG1" s="691"/>
      <c r="IH1" s="690" t="s">
        <v>824</v>
      </c>
      <c r="II1" s="690"/>
      <c r="IJ1" s="662" t="s">
        <v>1783</v>
      </c>
      <c r="IK1" s="662"/>
      <c r="IL1" s="691" t="s">
        <v>2550</v>
      </c>
      <c r="IM1" s="691"/>
      <c r="IN1" s="690" t="s">
        <v>824</v>
      </c>
      <c r="IO1" s="690"/>
      <c r="IP1" s="662" t="s">
        <v>1783</v>
      </c>
      <c r="IQ1" s="662"/>
      <c r="IR1" s="691" t="s">
        <v>2390</v>
      </c>
      <c r="IS1" s="691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2018</v>
      </c>
      <c r="FY2" s="2">
        <f>FY3+FW15</f>
        <v>201710.53</v>
      </c>
      <c r="FZ2" s="60"/>
      <c r="GD2" t="s">
        <v>2018</v>
      </c>
      <c r="GE2" s="2">
        <f>GE3+(FY2-FY3+GC15)</f>
        <v>232108.07</v>
      </c>
      <c r="GF2" s="60"/>
      <c r="GL2" s="60"/>
      <c r="GP2" t="s">
        <v>2229</v>
      </c>
      <c r="GQ2" s="2">
        <f>GQ3-SUM(GQ38:GQ40)</f>
        <v>4523.6810000000114</v>
      </c>
      <c r="GR2" s="60"/>
      <c r="GV2" t="s">
        <v>2229</v>
      </c>
      <c r="GW2" s="2">
        <f>GW3-SUM(GQ39:GQ40)</f>
        <v>16070.489999999998</v>
      </c>
      <c r="GX2" s="60"/>
      <c r="HB2" t="s">
        <v>2229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2229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2229</v>
      </c>
      <c r="HO2" s="2">
        <f>HO3-(GQ39-HG38-HG37-HM36)</f>
        <v>34567.509999999995</v>
      </c>
      <c r="HP2" s="60"/>
      <c r="HT2" t="s">
        <v>2229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2229</v>
      </c>
      <c r="IA2" s="2">
        <f>IA3-($GQ$39-$HG$38-$HG$37-$HM$36)</f>
        <v>45434.10000000002</v>
      </c>
      <c r="IB2" t="s">
        <v>295</v>
      </c>
      <c r="IC2" s="580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80">
        <f>SUM(II3:II30)</f>
        <v>15115.660000000002</v>
      </c>
      <c r="IJ2" s="348" t="s">
        <v>296</v>
      </c>
      <c r="IK2" s="286">
        <f>II2+IG2-IM2</f>
        <v>13100.319999999972</v>
      </c>
      <c r="IL2" t="s">
        <v>1946</v>
      </c>
      <c r="IM2" s="377">
        <f>SUM(IM3:IM29)</f>
        <v>8139.5300000000225</v>
      </c>
      <c r="IN2" t="s">
        <v>295</v>
      </c>
      <c r="IO2" s="580">
        <f>SUM(IO3:IO20)</f>
        <v>151.14000000000001</v>
      </c>
      <c r="IP2" s="348" t="s">
        <v>296</v>
      </c>
      <c r="IQ2" s="286">
        <f>IO2+IM2-IS2</f>
        <v>1623.9799999999959</v>
      </c>
      <c r="IR2" t="s">
        <v>1946</v>
      </c>
      <c r="IS2" s="377">
        <f>SUM(IS3:IS32)</f>
        <v>6666.690000000026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2226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2226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2226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2486</v>
      </c>
      <c r="HG3" s="52">
        <f>HG2-HG8-HG7</f>
        <v>22290.795714285709</v>
      </c>
      <c r="HH3" t="s">
        <v>2226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2486</v>
      </c>
      <c r="HM3" s="2">
        <f>HM2-HK25-HK2</f>
        <v>24846.866714285727</v>
      </c>
      <c r="HN3" t="s">
        <v>2252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2226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2482</v>
      </c>
      <c r="HY3" s="286"/>
      <c r="HZ3" t="s">
        <v>2446</v>
      </c>
      <c r="IA3" s="377">
        <f>SUM(IA6:IA39)</f>
        <v>49306.650000000016</v>
      </c>
      <c r="IB3" t="s">
        <v>641</v>
      </c>
      <c r="IC3" s="580">
        <v>15104.63</v>
      </c>
      <c r="ID3" s="348" t="s">
        <v>2486</v>
      </c>
      <c r="IE3" s="286">
        <f>IE2-IC26-IC27</f>
        <v>6344.2376666666896</v>
      </c>
      <c r="IF3" t="s">
        <v>2447</v>
      </c>
      <c r="IG3" s="281">
        <f>IA6</f>
        <v>-490000</v>
      </c>
      <c r="IH3" t="s">
        <v>641</v>
      </c>
      <c r="II3" s="580">
        <v>15104.63</v>
      </c>
      <c r="IJ3" t="s">
        <v>2500</v>
      </c>
      <c r="IK3" s="286">
        <f>IK2-II42-II41-IK63</f>
        <v>8762.016666666641</v>
      </c>
      <c r="IL3" t="s">
        <v>2447</v>
      </c>
      <c r="IM3" s="281">
        <f>IG3</f>
        <v>-490000</v>
      </c>
      <c r="IN3" t="s">
        <v>641</v>
      </c>
      <c r="IO3" s="580"/>
      <c r="IP3" t="s">
        <v>2500</v>
      </c>
      <c r="IQ3" s="286">
        <f>IQ2-IO26-IO25-IQ54</f>
        <v>1623.9799999999959</v>
      </c>
      <c r="IR3" t="s">
        <v>2447</v>
      </c>
      <c r="IS3" s="281">
        <f>IM3</f>
        <v>-490000</v>
      </c>
    </row>
    <row r="4" spans="1:256" ht="12.75" customHeight="1" thickBot="1" x14ac:dyDescent="0.25">
      <c r="A4" s="659" t="s">
        <v>1003</v>
      </c>
      <c r="B4" s="659"/>
      <c r="E4" s="173" t="s">
        <v>233</v>
      </c>
      <c r="F4" s="177">
        <f>F3-F5</f>
        <v>17</v>
      </c>
      <c r="G4" s="659" t="s">
        <v>1003</v>
      </c>
      <c r="H4" s="659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2060</v>
      </c>
      <c r="EY4" s="299">
        <f>EY3-EY7</f>
        <v>3574.4209999999985</v>
      </c>
      <c r="EZ4" s="1" t="s">
        <v>1665</v>
      </c>
      <c r="FA4" s="1">
        <v>-1778</v>
      </c>
      <c r="FD4" t="s">
        <v>2060</v>
      </c>
      <c r="FE4" s="299">
        <f>FE3-FE7</f>
        <v>3502.921000000008</v>
      </c>
      <c r="FF4" s="1" t="s">
        <v>1665</v>
      </c>
      <c r="FG4" s="1">
        <v>-1252</v>
      </c>
      <c r="FJ4" t="s">
        <v>2060</v>
      </c>
      <c r="FK4" s="299">
        <f>FK3-FK7</f>
        <v>3295.199999999998</v>
      </c>
      <c r="FL4" t="s">
        <v>1841</v>
      </c>
      <c r="FM4" s="2">
        <v>160000</v>
      </c>
      <c r="FP4" t="s">
        <v>2060</v>
      </c>
      <c r="FQ4" s="299">
        <f>FQ3-FQ8-FQ7</f>
        <v>4761.7000000000071</v>
      </c>
      <c r="FR4" t="s">
        <v>1841</v>
      </c>
      <c r="FS4" s="2">
        <v>198000</v>
      </c>
      <c r="FV4" t="s">
        <v>2060</v>
      </c>
      <c r="FW4" s="299">
        <f>FW3-FW8-FW7</f>
        <v>5622.1610000000019</v>
      </c>
      <c r="FX4" t="s">
        <v>1936</v>
      </c>
      <c r="FY4" s="2">
        <v>180000</v>
      </c>
      <c r="GB4" t="s">
        <v>2060</v>
      </c>
      <c r="GC4" s="299">
        <f>GC3-GC8-GC7</f>
        <v>2747.1799999999898</v>
      </c>
      <c r="GD4" t="s">
        <v>1936</v>
      </c>
      <c r="GE4" s="2">
        <v>145000</v>
      </c>
      <c r="GH4" t="s">
        <v>2060</v>
      </c>
      <c r="GI4" s="299">
        <f>GI3-GI8-GI7</f>
        <v>5855.1089999999813</v>
      </c>
      <c r="GJ4" t="s">
        <v>1936</v>
      </c>
      <c r="GK4" s="2">
        <v>164000</v>
      </c>
      <c r="GN4" t="s">
        <v>2060</v>
      </c>
      <c r="GO4" s="299">
        <f>GO3-GO8-GO7</f>
        <v>4720.0899999999965</v>
      </c>
      <c r="GP4" t="s">
        <v>1936</v>
      </c>
      <c r="GQ4" s="2">
        <v>176000</v>
      </c>
      <c r="GT4" t="s">
        <v>2060</v>
      </c>
      <c r="GU4" s="299">
        <f>GU3-GU8-GU7</f>
        <v>2094.1210000000328</v>
      </c>
      <c r="GV4" t="s">
        <v>1936</v>
      </c>
      <c r="GW4" s="2">
        <v>105000</v>
      </c>
      <c r="GZ4" t="s">
        <v>2060</v>
      </c>
      <c r="HA4" s="299">
        <f>HA3-HA8-HA7</f>
        <v>6780.8357142857076</v>
      </c>
      <c r="HB4" t="s">
        <v>1936</v>
      </c>
      <c r="HC4" s="2">
        <v>103000</v>
      </c>
      <c r="HF4" t="s">
        <v>2487</v>
      </c>
      <c r="HG4" s="299">
        <f>HG3-SUM(HG37:HG38)</f>
        <v>1923.3457142857078</v>
      </c>
      <c r="HH4" t="s">
        <v>1936</v>
      </c>
      <c r="HI4" s="2">
        <v>85000</v>
      </c>
      <c r="HJ4" t="s">
        <v>641</v>
      </c>
      <c r="HK4">
        <v>15123.78</v>
      </c>
      <c r="HL4" t="s">
        <v>2487</v>
      </c>
      <c r="HM4" s="286">
        <f>HM3-HM36</f>
        <v>4086.8667142857266</v>
      </c>
      <c r="HN4" t="s">
        <v>1936</v>
      </c>
      <c r="HO4" s="2">
        <v>78000</v>
      </c>
      <c r="HP4" t="s">
        <v>641</v>
      </c>
      <c r="HQ4">
        <v>15123.78</v>
      </c>
      <c r="HR4" t="s">
        <v>2060</v>
      </c>
      <c r="HS4" s="286">
        <f>HS3-HQ29-HQ28-HS39</f>
        <v>3935.1457142857057</v>
      </c>
      <c r="HT4" t="s">
        <v>429</v>
      </c>
      <c r="HU4" s="2">
        <v>4000</v>
      </c>
      <c r="HV4" t="s">
        <v>641</v>
      </c>
      <c r="HW4" s="52">
        <v>15123.78</v>
      </c>
      <c r="HX4" t="s">
        <v>2486</v>
      </c>
      <c r="HY4" s="2">
        <f>HY2-HW25-HW24</f>
        <v>501542.31571428588</v>
      </c>
      <c r="HZ4" t="s">
        <v>2448</v>
      </c>
      <c r="IA4" s="377"/>
      <c r="IB4" t="s">
        <v>2452</v>
      </c>
      <c r="IC4" s="580">
        <v>-1437.02</v>
      </c>
      <c r="ID4" t="s">
        <v>2499</v>
      </c>
      <c r="IE4" s="286">
        <f>IE3-IE52</f>
        <v>3032.4476666666897</v>
      </c>
      <c r="IF4" s="1" t="s">
        <v>1665</v>
      </c>
      <c r="IG4" s="145">
        <v>-192</v>
      </c>
      <c r="IH4" t="s">
        <v>2531</v>
      </c>
      <c r="II4" s="580">
        <v>-1437.02</v>
      </c>
      <c r="IJ4" s="631" t="s">
        <v>2557</v>
      </c>
      <c r="IK4" s="286">
        <f>IK3-II43</f>
        <v>5294.266666666641</v>
      </c>
      <c r="IL4" s="1" t="s">
        <v>2368</v>
      </c>
      <c r="IM4" s="285">
        <v>-75000</v>
      </c>
      <c r="IN4" t="s">
        <v>2531</v>
      </c>
      <c r="IO4" s="580"/>
      <c r="IP4" t="s">
        <v>1237</v>
      </c>
      <c r="IQ4" s="299">
        <f>IQ2-IQ5</f>
        <v>-0.63000000000397449</v>
      </c>
      <c r="IR4" s="1" t="s">
        <v>2368</v>
      </c>
      <c r="IS4" s="285">
        <v>-75000</v>
      </c>
      <c r="IT4" s="108"/>
    </row>
    <row r="5" spans="1:256" x14ac:dyDescent="0.2">
      <c r="A5" s="659"/>
      <c r="B5" s="659"/>
      <c r="E5" s="173" t="s">
        <v>358</v>
      </c>
      <c r="F5" s="177">
        <f>SUM(F15:F56)</f>
        <v>12750</v>
      </c>
      <c r="G5" s="659"/>
      <c r="H5" s="659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2035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2022</v>
      </c>
      <c r="GH5" t="s">
        <v>1237</v>
      </c>
      <c r="GI5" s="299">
        <f>GI3-GI6</f>
        <v>-1.8210000000181026</v>
      </c>
      <c r="GJ5" t="s">
        <v>2017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2017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2017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2017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2017</v>
      </c>
      <c r="HI5" s="281">
        <v>-6000</v>
      </c>
      <c r="HJ5" t="s">
        <v>2283</v>
      </c>
      <c r="HK5">
        <v>-1437.02</v>
      </c>
      <c r="HL5" t="s">
        <v>1237</v>
      </c>
      <c r="HM5" s="299">
        <f>HM2-HM6</f>
        <v>-0.18999999998777639</v>
      </c>
      <c r="HN5" t="s">
        <v>2017</v>
      </c>
      <c r="HO5" s="281">
        <v>-6000</v>
      </c>
      <c r="HP5" t="s">
        <v>2289</v>
      </c>
      <c r="HQ5">
        <v>-1437.02</v>
      </c>
      <c r="HR5" t="s">
        <v>1237</v>
      </c>
      <c r="HS5" s="299">
        <f>HS3-HS6</f>
        <v>-0.41000000000894943</v>
      </c>
      <c r="HT5" s="454" t="s">
        <v>2017</v>
      </c>
      <c r="HU5" s="455">
        <f>HO5-HT7</f>
        <v>-13000</v>
      </c>
      <c r="HV5" t="s">
        <v>2453</v>
      </c>
      <c r="HW5" s="52">
        <v>-1437.02</v>
      </c>
      <c r="HX5" t="s">
        <v>2483</v>
      </c>
      <c r="HY5" s="286">
        <f>HY4-HY43</f>
        <v>494212.81571428588</v>
      </c>
      <c r="HZ5" t="s">
        <v>2449</v>
      </c>
      <c r="IA5" s="377"/>
      <c r="IB5" t="s">
        <v>1613</v>
      </c>
      <c r="IC5" s="580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2524</v>
      </c>
      <c r="II5" s="580">
        <v>100</v>
      </c>
      <c r="IJ5" t="s">
        <v>1237</v>
      </c>
      <c r="IK5" s="299">
        <f>IK2-IK6</f>
        <v>0.90999999997438863</v>
      </c>
      <c r="IL5" s="633" t="s">
        <v>2505</v>
      </c>
      <c r="IM5" s="2">
        <v>0</v>
      </c>
      <c r="IO5" s="580"/>
      <c r="IP5" t="s">
        <v>358</v>
      </c>
      <c r="IQ5" s="286">
        <f>SUM(IQ6:IQ51)</f>
        <v>1624.61</v>
      </c>
      <c r="IR5" s="66" t="s">
        <v>2505</v>
      </c>
      <c r="IS5" s="2">
        <v>0</v>
      </c>
      <c r="IU5" s="145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2283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2283</v>
      </c>
      <c r="GY6">
        <v>-1437.02</v>
      </c>
      <c r="GZ6" t="s">
        <v>358</v>
      </c>
      <c r="HA6" s="299">
        <f>SUM(HA13:HA50)</f>
        <v>10745.362000000001</v>
      </c>
      <c r="HB6" t="s">
        <v>2178</v>
      </c>
      <c r="HC6" s="281"/>
      <c r="HD6" t="s">
        <v>2283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2205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2205</v>
      </c>
      <c r="HQ6">
        <v>51</v>
      </c>
      <c r="HR6" t="s">
        <v>358</v>
      </c>
      <c r="HS6" s="286">
        <f>SUM(HS7:HS44)</f>
        <v>8267.1200000000008</v>
      </c>
      <c r="HT6" s="456" t="s">
        <v>2260</v>
      </c>
      <c r="HU6" s="457">
        <f>HO6+HT7</f>
        <v>-70000</v>
      </c>
      <c r="HV6" t="s">
        <v>2361</v>
      </c>
      <c r="HW6" s="52">
        <v>679999</v>
      </c>
      <c r="HX6" t="s">
        <v>1237</v>
      </c>
      <c r="HY6" s="299">
        <f>HY2-HY7</f>
        <v>490000.6100000001</v>
      </c>
      <c r="HZ6" t="s">
        <v>2447</v>
      </c>
      <c r="IA6" s="281">
        <v>-490000</v>
      </c>
      <c r="IB6" t="s">
        <v>2427</v>
      </c>
      <c r="IC6" s="581">
        <v>17.8</v>
      </c>
      <c r="ID6" t="s">
        <v>358</v>
      </c>
      <c r="IE6" s="286">
        <f>SUM(IE7:IE56)</f>
        <v>59937.460000000006</v>
      </c>
      <c r="IF6" s="334" t="s">
        <v>1666</v>
      </c>
      <c r="IG6" s="431">
        <v>0.08</v>
      </c>
      <c r="IH6" t="s">
        <v>2546</v>
      </c>
      <c r="II6" s="580">
        <v>150</v>
      </c>
      <c r="IJ6" t="s">
        <v>358</v>
      </c>
      <c r="IK6" s="286">
        <f>SUM(IK7:IK60)</f>
        <v>13099.409999999998</v>
      </c>
      <c r="IL6" t="s">
        <v>2528</v>
      </c>
      <c r="IM6" s="281">
        <v>235000</v>
      </c>
      <c r="IO6" s="580"/>
      <c r="IP6" s="365" t="s">
        <v>2572</v>
      </c>
      <c r="IQ6" s="61"/>
      <c r="IR6" t="s">
        <v>2528</v>
      </c>
      <c r="IS6" s="281">
        <v>235000</v>
      </c>
      <c r="IT6" s="108">
        <v>44910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2034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2254</v>
      </c>
      <c r="HK7">
        <v>30.001000000000001</v>
      </c>
      <c r="HL7" s="365" t="s">
        <v>1014</v>
      </c>
      <c r="HM7">
        <v>1900.08</v>
      </c>
      <c r="HN7" t="s">
        <v>2214</v>
      </c>
      <c r="HO7" s="2"/>
      <c r="HP7" t="s">
        <v>2310</v>
      </c>
      <c r="HQ7">
        <v>215.57</v>
      </c>
      <c r="HR7" s="365" t="s">
        <v>1014</v>
      </c>
      <c r="HS7">
        <v>1900.09</v>
      </c>
      <c r="HT7" s="458">
        <v>7000</v>
      </c>
      <c r="HU7" s="459" t="s">
        <v>2261</v>
      </c>
      <c r="HV7" t="s">
        <v>2205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81">
        <v>24.9</v>
      </c>
      <c r="ID7" s="365" t="s">
        <v>1014</v>
      </c>
      <c r="IE7">
        <v>1900.11</v>
      </c>
      <c r="IF7" s="6" t="s">
        <v>2445</v>
      </c>
      <c r="IG7" s="373">
        <v>-8</v>
      </c>
      <c r="IH7" t="s">
        <v>2551</v>
      </c>
      <c r="II7" s="580">
        <v>2.27</v>
      </c>
      <c r="IJ7" s="365" t="s">
        <v>2501</v>
      </c>
      <c r="IK7">
        <v>15</v>
      </c>
      <c r="IL7" s="1" t="s">
        <v>1665</v>
      </c>
      <c r="IM7" s="145">
        <v>-2488</v>
      </c>
      <c r="IN7" t="s">
        <v>2514</v>
      </c>
      <c r="IO7" s="580"/>
      <c r="IP7" s="365" t="s">
        <v>1014</v>
      </c>
      <c r="IQ7" s="61"/>
      <c r="IR7" s="1" t="s">
        <v>1665</v>
      </c>
      <c r="IS7" s="145">
        <v>-1964</v>
      </c>
      <c r="IT7" s="554">
        <v>44913</v>
      </c>
      <c r="IU7" s="638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2021</v>
      </c>
      <c r="GG8" s="248">
        <v>30</v>
      </c>
      <c r="GH8" s="408" t="s">
        <v>1995</v>
      </c>
      <c r="GI8" s="299">
        <f>SUM(GI15)</f>
        <v>0</v>
      </c>
      <c r="GJ8" s="6" t="s">
        <v>2025</v>
      </c>
      <c r="GK8" s="373">
        <v>300</v>
      </c>
      <c r="GN8" s="408" t="s">
        <v>1995</v>
      </c>
      <c r="GO8" s="299">
        <f>SUM(GO14)</f>
        <v>0</v>
      </c>
      <c r="GP8" s="6" t="s">
        <v>2025</v>
      </c>
      <c r="GQ8" s="373">
        <v>29.05</v>
      </c>
      <c r="GR8" t="s">
        <v>2140</v>
      </c>
      <c r="GS8">
        <v>4000</v>
      </c>
      <c r="GT8" s="408" t="s">
        <v>1995</v>
      </c>
      <c r="GU8" s="299">
        <f>SUM(GU16:GU17)</f>
        <v>84255</v>
      </c>
      <c r="GV8" s="6" t="s">
        <v>2025</v>
      </c>
      <c r="GW8" s="373">
        <v>29.05</v>
      </c>
      <c r="GZ8" s="408" t="s">
        <v>1995</v>
      </c>
      <c r="HA8" s="299">
        <f>SUM(HA14:HA14)</f>
        <v>2165.0742857142859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3245.0742857142859</v>
      </c>
      <c r="HH8" s="6" t="s">
        <v>2025</v>
      </c>
      <c r="HI8" s="373">
        <v>38</v>
      </c>
      <c r="HJ8" t="s">
        <v>1643</v>
      </c>
      <c r="HL8" s="253" t="s">
        <v>2216</v>
      </c>
      <c r="HM8">
        <v>345.6</v>
      </c>
      <c r="HN8" s="1" t="s">
        <v>1665</v>
      </c>
      <c r="HO8" s="145">
        <v>-540</v>
      </c>
      <c r="HQ8" s="248"/>
      <c r="HR8" s="360" t="s">
        <v>2058</v>
      </c>
      <c r="HS8">
        <v>1059.3</v>
      </c>
      <c r="HT8" s="1" t="s">
        <v>1665</v>
      </c>
      <c r="HU8" s="145">
        <v>-1653</v>
      </c>
      <c r="HV8" t="s">
        <v>2320</v>
      </c>
      <c r="HW8" s="52">
        <v>2.1</v>
      </c>
      <c r="HX8" s="365" t="s">
        <v>1014</v>
      </c>
      <c r="HY8">
        <v>1900.1</v>
      </c>
      <c r="HZ8" s="6" t="s">
        <v>2025</v>
      </c>
      <c r="IA8" s="373">
        <v>0</v>
      </c>
      <c r="IB8" t="s">
        <v>2428</v>
      </c>
      <c r="IC8" s="580"/>
      <c r="ID8" s="417" t="s">
        <v>2401</v>
      </c>
      <c r="IE8">
        <v>5.73</v>
      </c>
      <c r="IF8" s="6" t="s">
        <v>1873</v>
      </c>
      <c r="IG8" s="592">
        <v>2499</v>
      </c>
      <c r="II8" s="580"/>
      <c r="IJ8" s="365" t="s">
        <v>1014</v>
      </c>
      <c r="IK8">
        <v>1900.12</v>
      </c>
      <c r="IL8" s="6" t="s">
        <v>1929</v>
      </c>
      <c r="IM8" s="373">
        <v>0</v>
      </c>
      <c r="IO8" s="580"/>
      <c r="IP8" s="417" t="s">
        <v>2548</v>
      </c>
      <c r="IQ8" s="643"/>
      <c r="IR8" s="334" t="s">
        <v>1666</v>
      </c>
      <c r="IS8" s="431">
        <v>0.08</v>
      </c>
      <c r="IT8" s="108">
        <v>44903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2100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2034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2106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35">
        <f>SUM(HA19:HA25)</f>
        <v>820.26571428571435</v>
      </c>
      <c r="HB9" s="6" t="s">
        <v>2025</v>
      </c>
      <c r="HC9" s="373">
        <v>38</v>
      </c>
      <c r="HD9" t="s">
        <v>2186</v>
      </c>
      <c r="HE9">
        <f>63.92+6.4</f>
        <v>70.320000000000007</v>
      </c>
      <c r="HF9" s="362" t="s">
        <v>1720</v>
      </c>
      <c r="HG9" s="435">
        <f>SUM(HG20:HG27)</f>
        <v>897.20571428571429</v>
      </c>
      <c r="HH9" s="6" t="s">
        <v>1929</v>
      </c>
      <c r="HI9" s="373">
        <v>30</v>
      </c>
      <c r="HJ9" s="261" t="s">
        <v>2281</v>
      </c>
      <c r="HK9">
        <f>86</f>
        <v>86</v>
      </c>
      <c r="HL9" s="253" t="s">
        <v>2113</v>
      </c>
      <c r="HM9" s="435">
        <f>HM10*6</f>
        <v>2165.0742857142859</v>
      </c>
      <c r="HN9" s="6" t="s">
        <v>2025</v>
      </c>
      <c r="HO9" s="373">
        <v>0</v>
      </c>
      <c r="HP9" t="s">
        <v>1643</v>
      </c>
      <c r="HR9" s="360" t="s">
        <v>2291</v>
      </c>
      <c r="HS9">
        <v>807.85</v>
      </c>
      <c r="HT9" s="6" t="s">
        <v>2025</v>
      </c>
      <c r="HU9" s="373">
        <v>0</v>
      </c>
      <c r="HV9" t="s">
        <v>2364</v>
      </c>
      <c r="HW9" s="52">
        <v>2.0299999999999998</v>
      </c>
      <c r="HX9" s="360" t="s">
        <v>2443</v>
      </c>
      <c r="HY9">
        <v>535</v>
      </c>
      <c r="HZ9" s="6" t="s">
        <v>1929</v>
      </c>
      <c r="IA9" s="373">
        <v>14.67</v>
      </c>
      <c r="IB9" t="s">
        <v>2205</v>
      </c>
      <c r="IC9" s="580">
        <v>50</v>
      </c>
      <c r="ID9" s="360" t="s">
        <v>2444</v>
      </c>
      <c r="IE9">
        <v>32.1</v>
      </c>
      <c r="IF9" s="66" t="s">
        <v>1540</v>
      </c>
      <c r="IG9" s="2">
        <v>817</v>
      </c>
      <c r="IH9" t="s">
        <v>2514</v>
      </c>
      <c r="IJ9" s="620" t="s">
        <v>2489</v>
      </c>
      <c r="IK9" s="358">
        <f>6+5+3+10+7</f>
        <v>31</v>
      </c>
      <c r="IL9" s="334" t="s">
        <v>1666</v>
      </c>
      <c r="IM9" s="431">
        <v>0.08</v>
      </c>
      <c r="IP9" s="360" t="s">
        <v>2580</v>
      </c>
      <c r="IQ9" s="644">
        <v>210.89</v>
      </c>
      <c r="IR9" s="6" t="s">
        <v>2445</v>
      </c>
      <c r="IS9" s="373">
        <v>35</v>
      </c>
      <c r="IT9" s="108">
        <v>44910</v>
      </c>
      <c r="IU9" s="281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2033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2034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31">
        <v>0.06</v>
      </c>
      <c r="HJ10" t="s">
        <v>1834</v>
      </c>
      <c r="HK10" s="208">
        <v>13</v>
      </c>
      <c r="HL10" s="359" t="s">
        <v>2112</v>
      </c>
      <c r="HM10" s="435">
        <f>2525.92/7</f>
        <v>360.84571428571428</v>
      </c>
      <c r="HN10" s="6" t="s">
        <v>1929</v>
      </c>
      <c r="HO10" s="373">
        <v>16</v>
      </c>
      <c r="HP10" s="261" t="s">
        <v>2282</v>
      </c>
      <c r="HQ10">
        <v>75.06</v>
      </c>
      <c r="HR10" s="253" t="s">
        <v>2312</v>
      </c>
      <c r="HS10">
        <v>100</v>
      </c>
      <c r="HT10" s="6" t="s">
        <v>1929</v>
      </c>
      <c r="HU10" s="373">
        <v>14.67</v>
      </c>
      <c r="HW10" s="248"/>
      <c r="HX10" s="253" t="s">
        <v>2312</v>
      </c>
      <c r="HY10">
        <v>100</v>
      </c>
      <c r="HZ10" s="334" t="s">
        <v>1666</v>
      </c>
      <c r="IA10" s="431">
        <v>7.0000000000000007E-2</v>
      </c>
      <c r="IB10" t="s">
        <v>1834</v>
      </c>
      <c r="IC10" s="581">
        <v>13.54</v>
      </c>
      <c r="ID10" s="253" t="s">
        <v>2437</v>
      </c>
      <c r="IE10" s="2">
        <f>11000+300</f>
        <v>11300</v>
      </c>
      <c r="IF10" s="66" t="s">
        <v>1541</v>
      </c>
      <c r="IG10" s="2">
        <v>1463</v>
      </c>
      <c r="IH10" t="s">
        <v>2481</v>
      </c>
      <c r="II10">
        <v>10</v>
      </c>
      <c r="IJ10" s="417" t="s">
        <v>2526</v>
      </c>
      <c r="IK10" s="358">
        <v>3179</v>
      </c>
      <c r="IL10" s="6" t="s">
        <v>2445</v>
      </c>
      <c r="IM10" s="373">
        <v>35</v>
      </c>
      <c r="IP10" s="360" t="s">
        <v>2549</v>
      </c>
      <c r="IQ10" s="61"/>
      <c r="IR10" s="6" t="s">
        <v>1873</v>
      </c>
      <c r="IS10" s="621">
        <v>2499</v>
      </c>
      <c r="IT10" s="108"/>
      <c r="IU10" s="281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2049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2114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2141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2217</v>
      </c>
      <c r="HM11">
        <v>80.959999999999994</v>
      </c>
      <c r="HN11" s="1" t="s">
        <v>1666</v>
      </c>
      <c r="HO11" s="431">
        <v>0.06</v>
      </c>
      <c r="HQ11" s="208"/>
      <c r="HR11" s="253" t="s">
        <v>2315</v>
      </c>
      <c r="HS11">
        <v>156.5</v>
      </c>
      <c r="HT11" s="334" t="s">
        <v>1666</v>
      </c>
      <c r="HU11" s="431">
        <v>7.0000000000000007E-2</v>
      </c>
      <c r="HV11" t="s">
        <v>1643</v>
      </c>
      <c r="HW11" s="52"/>
      <c r="HX11" s="253" t="s">
        <v>2370</v>
      </c>
      <c r="HY11">
        <f>1000+1000+1000</f>
        <v>3000</v>
      </c>
      <c r="HZ11" s="6" t="s">
        <v>2278</v>
      </c>
      <c r="IA11" s="373">
        <v>-10</v>
      </c>
      <c r="IB11" t="s">
        <v>2454</v>
      </c>
      <c r="IC11" s="581">
        <v>12.88</v>
      </c>
      <c r="ID11" s="615" t="s">
        <v>2054</v>
      </c>
      <c r="IE11" s="285">
        <v>3000</v>
      </c>
      <c r="IF11" s="66" t="s">
        <v>2377</v>
      </c>
      <c r="IG11" s="281">
        <v>5794</v>
      </c>
      <c r="IH11" t="s">
        <v>2523</v>
      </c>
      <c r="II11">
        <v>13.5</v>
      </c>
      <c r="IJ11" s="417" t="s">
        <v>2153</v>
      </c>
      <c r="IK11">
        <v>288.75</v>
      </c>
      <c r="IL11" s="6" t="s">
        <v>1873</v>
      </c>
      <c r="IM11" s="621">
        <v>2499</v>
      </c>
      <c r="IP11" s="360" t="s">
        <v>2549</v>
      </c>
      <c r="IQ11" s="61"/>
      <c r="IR11" s="66" t="s">
        <v>1540</v>
      </c>
      <c r="IS11" s="281">
        <v>527</v>
      </c>
      <c r="IT11" s="108" t="s">
        <v>2579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2241</v>
      </c>
      <c r="HK12" s="248">
        <v>90</v>
      </c>
      <c r="HL12" s="359" t="s">
        <v>2218</v>
      </c>
      <c r="HM12">
        <v>197.9</v>
      </c>
      <c r="HN12" s="6" t="s">
        <v>1873</v>
      </c>
      <c r="HO12">
        <v>2499</v>
      </c>
      <c r="HR12" s="253" t="s">
        <v>2113</v>
      </c>
      <c r="HS12" s="435">
        <f>HS13*6</f>
        <v>2165.0742857142859</v>
      </c>
      <c r="HT12" s="6" t="s">
        <v>2278</v>
      </c>
      <c r="HU12" s="373">
        <v>-808</v>
      </c>
      <c r="HV12" s="261" t="s">
        <v>2313</v>
      </c>
      <c r="HW12" s="52">
        <v>63.05</v>
      </c>
      <c r="HX12" s="253" t="s">
        <v>2353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2439</v>
      </c>
      <c r="IC12" s="581">
        <v>3.0009999999999999</v>
      </c>
      <c r="ID12" s="616" t="s">
        <v>2213</v>
      </c>
      <c r="IE12" s="285">
        <v>4000</v>
      </c>
      <c r="IF12" s="66" t="s">
        <v>1933</v>
      </c>
      <c r="IG12" s="2">
        <v>0</v>
      </c>
      <c r="IH12" t="s">
        <v>2498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2312</v>
      </c>
      <c r="IQ12" s="61"/>
      <c r="IR12" s="66" t="s">
        <v>2511</v>
      </c>
      <c r="IS12" s="281">
        <v>828</v>
      </c>
      <c r="IT12" s="108" t="s">
        <v>2579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2071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2112</v>
      </c>
      <c r="HS13" s="435">
        <f>2525.92/7</f>
        <v>360.84571428571428</v>
      </c>
      <c r="HT13" s="6" t="s">
        <v>1873</v>
      </c>
      <c r="HU13">
        <v>499</v>
      </c>
      <c r="HV13" t="s">
        <v>2430</v>
      </c>
      <c r="HW13" s="248">
        <v>14.49</v>
      </c>
      <c r="HX13" s="253" t="s">
        <v>2321</v>
      </c>
      <c r="HY13">
        <v>10.96</v>
      </c>
      <c r="HZ13" s="66" t="s">
        <v>1540</v>
      </c>
      <c r="IA13" s="145">
        <v>1075</v>
      </c>
      <c r="IB13" t="s">
        <v>2402</v>
      </c>
      <c r="IC13" s="581">
        <v>203.43</v>
      </c>
      <c r="ID13" s="616" t="s">
        <v>2056</v>
      </c>
      <c r="IE13" s="285">
        <v>25000</v>
      </c>
      <c r="IF13" s="66" t="s">
        <v>1928</v>
      </c>
      <c r="IG13" s="2">
        <v>361</v>
      </c>
      <c r="IH13" t="s">
        <v>2478</v>
      </c>
      <c r="II13" s="618">
        <f>160+85</f>
        <v>245</v>
      </c>
      <c r="IJ13" s="360" t="s">
        <v>2554</v>
      </c>
      <c r="IK13">
        <f>139.5+131.4</f>
        <v>270.89999999999998</v>
      </c>
      <c r="IL13" s="66" t="s">
        <v>2511</v>
      </c>
      <c r="IM13" s="281">
        <v>869</v>
      </c>
      <c r="IN13" t="s">
        <v>2515</v>
      </c>
      <c r="IO13" s="618"/>
      <c r="IP13" s="253" t="s">
        <v>2473</v>
      </c>
      <c r="IQ13" s="61"/>
      <c r="IR13" s="562" t="s">
        <v>2547</v>
      </c>
      <c r="IS13" s="281">
        <v>140</v>
      </c>
      <c r="IT13" s="108" t="s">
        <v>2579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2111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2023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2062</v>
      </c>
      <c r="GP14" s="66" t="s">
        <v>1933</v>
      </c>
      <c r="GQ14">
        <v>642</v>
      </c>
      <c r="GR14" t="s">
        <v>1596</v>
      </c>
      <c r="GS14">
        <v>50</v>
      </c>
      <c r="GT14" s="365" t="s">
        <v>2110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2113</v>
      </c>
      <c r="HA14" s="424">
        <f>HA19*6</f>
        <v>2165.0742857142859</v>
      </c>
      <c r="HB14" s="66" t="s">
        <v>1541</v>
      </c>
      <c r="HC14">
        <v>2184</v>
      </c>
      <c r="HD14" s="261" t="s">
        <v>2284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67" t="s">
        <v>2236</v>
      </c>
      <c r="HK14" s="667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2389</v>
      </c>
      <c r="HY14" s="435">
        <f>HY15*6</f>
        <v>2165.0742857142859</v>
      </c>
      <c r="HZ14" s="66" t="s">
        <v>1541</v>
      </c>
      <c r="IA14" s="145">
        <v>2028</v>
      </c>
      <c r="IB14" t="s">
        <v>2403</v>
      </c>
      <c r="IC14" s="580">
        <v>13.56</v>
      </c>
      <c r="ID14" s="616" t="s">
        <v>2474</v>
      </c>
      <c r="IE14" s="285">
        <v>2000</v>
      </c>
      <c r="IF14" s="66" t="s">
        <v>2253</v>
      </c>
      <c r="IG14" s="2">
        <v>1000</v>
      </c>
      <c r="II14" s="618"/>
      <c r="IJ14" s="253" t="s">
        <v>2312</v>
      </c>
      <c r="IK14">
        <v>100</v>
      </c>
      <c r="IL14" s="562" t="s">
        <v>2547</v>
      </c>
      <c r="IM14" s="281">
        <v>3140</v>
      </c>
      <c r="IN14" t="s">
        <v>2205</v>
      </c>
      <c r="IO14" s="618"/>
      <c r="IP14" s="359" t="s">
        <v>2112</v>
      </c>
      <c r="IQ14" s="61"/>
      <c r="IR14" s="281" t="s">
        <v>2564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03" t="s">
        <v>1539</v>
      </c>
      <c r="DP15" s="704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2062</v>
      </c>
      <c r="GJ15" s="66" t="s">
        <v>1928</v>
      </c>
      <c r="GK15">
        <v>268</v>
      </c>
      <c r="GL15" s="261" t="s">
        <v>429</v>
      </c>
      <c r="GM15">
        <v>114</v>
      </c>
      <c r="GN15" s="417" t="s">
        <v>2076</v>
      </c>
      <c r="GO15">
        <v>139.96</v>
      </c>
      <c r="GP15" s="66" t="s">
        <v>1928</v>
      </c>
      <c r="GQ15">
        <v>318</v>
      </c>
      <c r="GT15" s="365" t="s">
        <v>2115</v>
      </c>
      <c r="GU15">
        <v>35.1</v>
      </c>
      <c r="GV15" s="66" t="s">
        <v>1928</v>
      </c>
      <c r="GW15">
        <v>360</v>
      </c>
      <c r="GX15" t="s">
        <v>2154</v>
      </c>
      <c r="GY15">
        <v>40</v>
      </c>
      <c r="GZ15" s="417" t="s">
        <v>2153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2215</v>
      </c>
      <c r="HG15">
        <v>80</v>
      </c>
      <c r="HH15" s="66" t="s">
        <v>1928</v>
      </c>
      <c r="HI15">
        <v>357</v>
      </c>
      <c r="HJ15" s="446">
        <v>3179.26</v>
      </c>
      <c r="HK15" s="426" t="s">
        <v>2182</v>
      </c>
      <c r="HL15" s="359" t="s">
        <v>2238</v>
      </c>
      <c r="HM15">
        <f>9+10.96</f>
        <v>19.96</v>
      </c>
      <c r="HN15" s="66" t="s">
        <v>1933</v>
      </c>
      <c r="HO15">
        <v>111</v>
      </c>
      <c r="HP15" s="429"/>
      <c r="HQ15" s="426"/>
      <c r="HR15" s="359" t="s">
        <v>2217</v>
      </c>
      <c r="HS15">
        <v>132.94999999999999</v>
      </c>
      <c r="HT15" s="66" t="s">
        <v>1541</v>
      </c>
      <c r="HU15">
        <v>1573</v>
      </c>
      <c r="HV15" t="s">
        <v>2382</v>
      </c>
      <c r="HW15" s="52"/>
      <c r="HX15" s="359" t="s">
        <v>2112</v>
      </c>
      <c r="HY15" s="435">
        <f>2525.92/7</f>
        <v>360.84571428571428</v>
      </c>
      <c r="HZ15" s="66" t="s">
        <v>2377</v>
      </c>
      <c r="IA15" s="281">
        <v>442</v>
      </c>
      <c r="IB15" t="s">
        <v>2429</v>
      </c>
      <c r="IC15" s="580"/>
      <c r="ID15" s="617" t="s">
        <v>2475</v>
      </c>
      <c r="IE15" s="285">
        <v>4000</v>
      </c>
      <c r="IF15" s="66" t="s">
        <v>2409</v>
      </c>
      <c r="IG15" s="2">
        <f>12000+100000+33000</f>
        <v>145000</v>
      </c>
      <c r="IH15" t="s">
        <v>2515</v>
      </c>
      <c r="II15" s="580"/>
      <c r="IJ15" s="253" t="s">
        <v>2473</v>
      </c>
      <c r="IK15" s="435">
        <f>IK16*5</f>
        <v>2292.1833333333334</v>
      </c>
      <c r="IL15" s="66" t="s">
        <v>1933</v>
      </c>
      <c r="IM15" s="281">
        <v>450</v>
      </c>
      <c r="IN15" t="s">
        <v>2562</v>
      </c>
      <c r="IO15" s="580"/>
      <c r="IP15" s="359" t="s">
        <v>1985</v>
      </c>
      <c r="IQ15" s="61"/>
      <c r="IR15" s="66" t="s">
        <v>1933</v>
      </c>
      <c r="IS15" s="281">
        <v>450</v>
      </c>
      <c r="IT15" s="108">
        <v>44910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2016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2019</v>
      </c>
      <c r="GI16">
        <v>2454.0500000000002</v>
      </c>
      <c r="GJ16" s="66" t="s">
        <v>1447</v>
      </c>
      <c r="GK16" s="6">
        <v>0</v>
      </c>
      <c r="GN16" s="417" t="s">
        <v>2075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2099</v>
      </c>
      <c r="GU16">
        <f>84250</f>
        <v>84250</v>
      </c>
      <c r="GV16" s="1" t="s">
        <v>1660</v>
      </c>
      <c r="GW16">
        <v>174</v>
      </c>
      <c r="GZ16" s="360" t="s">
        <v>2139</v>
      </c>
      <c r="HA16">
        <f>10+10+120*2</f>
        <v>260</v>
      </c>
      <c r="HB16" s="66" t="s">
        <v>1928</v>
      </c>
      <c r="HC16">
        <v>402</v>
      </c>
      <c r="HE16" s="248"/>
      <c r="HF16" s="253" t="s">
        <v>2113</v>
      </c>
      <c r="HG16" s="435">
        <f>HG20*6</f>
        <v>2165.0742857142859</v>
      </c>
      <c r="HH16" s="1" t="s">
        <v>1660</v>
      </c>
      <c r="HI16">
        <v>90</v>
      </c>
      <c r="HJ16" s="447">
        <v>-114.61</v>
      </c>
      <c r="HK16" t="s">
        <v>2188</v>
      </c>
      <c r="HL16" s="359" t="s">
        <v>2258</v>
      </c>
      <c r="HM16">
        <v>32</v>
      </c>
      <c r="HN16" s="66" t="s">
        <v>1928</v>
      </c>
      <c r="HO16">
        <v>407</v>
      </c>
      <c r="HP16" s="207"/>
      <c r="HR16" s="359" t="s">
        <v>2218</v>
      </c>
      <c r="HS16">
        <v>161.36000000000001</v>
      </c>
      <c r="HT16" s="66" t="s">
        <v>1542</v>
      </c>
      <c r="HU16">
        <v>0</v>
      </c>
      <c r="HV16" s="429" t="s">
        <v>2378</v>
      </c>
      <c r="HW16" s="561">
        <f>18.8+37.6</f>
        <v>56.400000000000006</v>
      </c>
      <c r="HX16" s="359" t="s">
        <v>1985</v>
      </c>
      <c r="HY16" s="435">
        <v>177.48</v>
      </c>
      <c r="HZ16" s="66" t="s">
        <v>1933</v>
      </c>
      <c r="IA16">
        <v>606</v>
      </c>
      <c r="IB16" s="601" t="s">
        <v>2422</v>
      </c>
      <c r="IC16" s="602">
        <f>208.9*2</f>
        <v>417.8</v>
      </c>
      <c r="ID16" s="253" t="s">
        <v>2312</v>
      </c>
      <c r="IE16">
        <v>100</v>
      </c>
      <c r="IF16" s="66" t="s">
        <v>2408</v>
      </c>
      <c r="IG16">
        <f>10500+2</f>
        <v>10502</v>
      </c>
      <c r="IH16" t="s">
        <v>2205</v>
      </c>
      <c r="II16" s="580">
        <f>1.64+37.8</f>
        <v>39.44</v>
      </c>
      <c r="IJ16" s="359" t="s">
        <v>2112</v>
      </c>
      <c r="IK16" s="435">
        <f>2750.62/6</f>
        <v>458.43666666666667</v>
      </c>
      <c r="IL16" s="66" t="s">
        <v>1928</v>
      </c>
      <c r="IM16" s="2">
        <v>102</v>
      </c>
      <c r="IN16" s="642" t="s">
        <v>1834</v>
      </c>
      <c r="IO16" s="580">
        <v>1.55</v>
      </c>
      <c r="IP16" s="359" t="s">
        <v>2217</v>
      </c>
      <c r="IQ16" s="61"/>
      <c r="IR16" s="66" t="s">
        <v>1928</v>
      </c>
      <c r="IS16" s="2">
        <v>102</v>
      </c>
      <c r="IT16" s="108">
        <v>44910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2036</v>
      </c>
      <c r="BF17" s="210">
        <v>420</v>
      </c>
      <c r="BG17" s="63" t="s">
        <v>1238</v>
      </c>
      <c r="BH17" s="64">
        <v>17.37</v>
      </c>
      <c r="BK17" s="277" t="s">
        <v>2037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2009</v>
      </c>
      <c r="GC17">
        <v>134</v>
      </c>
      <c r="GD17" s="262" t="s">
        <v>1980</v>
      </c>
      <c r="GF17" s="261" t="s">
        <v>429</v>
      </c>
      <c r="GG17">
        <v>130.44999999999999</v>
      </c>
      <c r="GH17" s="417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2098</v>
      </c>
      <c r="GU17">
        <v>5</v>
      </c>
      <c r="GV17" s="262" t="s">
        <v>2092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17" t="s">
        <v>2176</v>
      </c>
      <c r="HG17">
        <v>48.24</v>
      </c>
      <c r="HH17" s="262" t="s">
        <v>2092</v>
      </c>
      <c r="HJ17" s="446">
        <v>258.44</v>
      </c>
      <c r="HK17" s="426" t="s">
        <v>2180</v>
      </c>
      <c r="HL17" s="359" t="s">
        <v>2026</v>
      </c>
      <c r="HM17">
        <f>HK7</f>
        <v>30.001000000000001</v>
      </c>
      <c r="HN17" s="66" t="s">
        <v>2253</v>
      </c>
      <c r="HO17">
        <v>89</v>
      </c>
      <c r="HP17" s="429"/>
      <c r="HQ17" s="426"/>
      <c r="HR17" s="359" t="s">
        <v>1851</v>
      </c>
      <c r="HS17">
        <v>113.11</v>
      </c>
      <c r="HT17" s="66" t="s">
        <v>1933</v>
      </c>
      <c r="HU17">
        <v>659</v>
      </c>
      <c r="HV17" s="207" t="s">
        <v>2379</v>
      </c>
      <c r="HW17" s="52">
        <v>37.6</v>
      </c>
      <c r="HX17" s="359" t="s">
        <v>2218</v>
      </c>
      <c r="HY17">
        <v>96.35</v>
      </c>
      <c r="HZ17" s="66" t="s">
        <v>1928</v>
      </c>
      <c r="IA17">
        <v>311</v>
      </c>
      <c r="IB17" s="603" t="s">
        <v>2426</v>
      </c>
      <c r="IC17" s="604">
        <v>835.6</v>
      </c>
      <c r="ID17" s="253" t="s">
        <v>2473</v>
      </c>
      <c r="IE17" s="435">
        <f>IE18*5</f>
        <v>2292.1833333333334</v>
      </c>
      <c r="IF17" s="66" t="s">
        <v>2457</v>
      </c>
      <c r="IG17" s="2" t="s">
        <v>694</v>
      </c>
      <c r="IH17" t="s">
        <v>1834</v>
      </c>
      <c r="II17" s="581">
        <v>1.67</v>
      </c>
      <c r="IJ17" s="359" t="s">
        <v>1985</v>
      </c>
      <c r="IK17" s="435" t="s">
        <v>2542</v>
      </c>
      <c r="IL17" s="66" t="s">
        <v>2253</v>
      </c>
      <c r="IM17" s="2">
        <v>4000</v>
      </c>
      <c r="IN17" t="s">
        <v>2576</v>
      </c>
      <c r="IO17" s="581">
        <v>149.59</v>
      </c>
      <c r="IP17" s="359" t="s">
        <v>2438</v>
      </c>
      <c r="IQ17" s="645" t="s">
        <v>2574</v>
      </c>
      <c r="IR17" s="66" t="s">
        <v>2253</v>
      </c>
      <c r="IS17" s="2">
        <f>4000+29000</f>
        <v>33000</v>
      </c>
      <c r="IT17" s="108">
        <v>44910</v>
      </c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2041</v>
      </c>
      <c r="GK18">
        <v>1200</v>
      </c>
      <c r="GM18" s="248"/>
      <c r="GN18" s="360" t="s">
        <v>2084</v>
      </c>
      <c r="GO18">
        <v>54.38</v>
      </c>
      <c r="GP18" s="262" t="s">
        <v>2089</v>
      </c>
      <c r="GR18" t="s">
        <v>1834</v>
      </c>
      <c r="GS18">
        <v>13.53</v>
      </c>
      <c r="GT18" s="359" t="s">
        <v>2067</v>
      </c>
      <c r="GU18">
        <v>67.42</v>
      </c>
      <c r="GV18" s="7" t="s">
        <v>2041</v>
      </c>
      <c r="GW18">
        <v>1001</v>
      </c>
      <c r="GY18" s="248"/>
      <c r="GZ18" s="423" t="s">
        <v>2162</v>
      </c>
      <c r="HA18" s="6">
        <f>109.5+145</f>
        <v>254.5</v>
      </c>
      <c r="HB18" s="262" t="s">
        <v>2092</v>
      </c>
      <c r="HD18" t="s">
        <v>2185</v>
      </c>
      <c r="HE18">
        <f>1.25*3</f>
        <v>3.75</v>
      </c>
      <c r="HF18" s="360" t="s">
        <v>2165</v>
      </c>
      <c r="HG18">
        <v>33</v>
      </c>
      <c r="HH18" s="7" t="s">
        <v>2041</v>
      </c>
      <c r="HI18">
        <v>2041</v>
      </c>
      <c r="HJ18" s="446">
        <v>23.05</v>
      </c>
      <c r="HK18" s="426" t="s">
        <v>2180</v>
      </c>
      <c r="HL18" s="359" t="s">
        <v>2027</v>
      </c>
      <c r="HM18" s="444">
        <f>15.88+15.81+18.55+16.76+17.32+18.76</f>
        <v>103.08</v>
      </c>
      <c r="HN18" s="1" t="s">
        <v>1660</v>
      </c>
      <c r="HO18">
        <v>150</v>
      </c>
      <c r="HP18" s="429"/>
      <c r="HQ18" s="426"/>
      <c r="HR18" s="359" t="s">
        <v>1229</v>
      </c>
      <c r="HS18">
        <f>6.5+15</f>
        <v>21.5</v>
      </c>
      <c r="HT18" s="66" t="s">
        <v>1928</v>
      </c>
      <c r="HU18">
        <v>457</v>
      </c>
      <c r="HV18" s="429" t="s">
        <v>2381</v>
      </c>
      <c r="HW18" s="561">
        <f>18.8*3+56.4</f>
        <v>112.80000000000001</v>
      </c>
      <c r="HX18" s="359" t="s">
        <v>1851</v>
      </c>
      <c r="HY18">
        <v>112.57</v>
      </c>
      <c r="HZ18" s="66" t="s">
        <v>2253</v>
      </c>
      <c r="IA18">
        <v>0</v>
      </c>
      <c r="IB18" s="605" t="s">
        <v>2423</v>
      </c>
      <c r="IC18" s="604">
        <f>20.89*3</f>
        <v>62.67</v>
      </c>
      <c r="ID18" s="359" t="s">
        <v>2112</v>
      </c>
      <c r="IE18" s="435">
        <f>2750.62/6</f>
        <v>458.43666666666667</v>
      </c>
      <c r="IF18" s="562" t="s">
        <v>2356</v>
      </c>
      <c r="IG18" s="281">
        <v>295021.18</v>
      </c>
      <c r="IH18" t="s">
        <v>2561</v>
      </c>
      <c r="II18" s="581">
        <v>17.73</v>
      </c>
      <c r="IJ18" s="359" t="s">
        <v>2217</v>
      </c>
      <c r="IK18" t="s">
        <v>2542</v>
      </c>
      <c r="IL18" s="262" t="s">
        <v>2517</v>
      </c>
      <c r="IM18" s="2">
        <f>100*(120+1000+330+310)</f>
        <v>176000</v>
      </c>
      <c r="IP18" s="359" t="s">
        <v>1229</v>
      </c>
      <c r="IQ18" s="61"/>
      <c r="IR18" s="262" t="s">
        <v>2560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03" t="s">
        <v>1509</v>
      </c>
      <c r="DJ19" s="704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2044</v>
      </c>
      <c r="GL19" s="60" t="s">
        <v>2043</v>
      </c>
      <c r="GN19" s="360" t="s">
        <v>2058</v>
      </c>
      <c r="GO19">
        <v>1867</v>
      </c>
      <c r="GP19" s="7" t="s">
        <v>2041</v>
      </c>
      <c r="GQ19">
        <v>2000.001</v>
      </c>
      <c r="GR19" t="s">
        <v>2122</v>
      </c>
      <c r="GS19">
        <v>129.43</v>
      </c>
      <c r="GT19" s="359" t="s">
        <v>2150</v>
      </c>
      <c r="GU19" t="s">
        <v>2096</v>
      </c>
      <c r="GV19" s="1" t="s">
        <v>1958</v>
      </c>
      <c r="GW19" s="262">
        <v>745</v>
      </c>
      <c r="GX19" s="60"/>
      <c r="GZ19" s="359" t="s">
        <v>2112</v>
      </c>
      <c r="HA19" s="424">
        <f>2525.92/7</f>
        <v>360.84571428571428</v>
      </c>
      <c r="HB19" s="7" t="s">
        <v>2041</v>
      </c>
      <c r="HC19">
        <v>2041</v>
      </c>
      <c r="HD19" t="s">
        <v>2195</v>
      </c>
      <c r="HE19">
        <v>106.89</v>
      </c>
      <c r="HF19" s="360" t="s">
        <v>2167</v>
      </c>
      <c r="HG19">
        <v>12</v>
      </c>
      <c r="HH19" s="1" t="s">
        <v>2170</v>
      </c>
      <c r="HI19" s="262" t="s">
        <v>2171</v>
      </c>
      <c r="HJ19" s="448">
        <v>1580.64</v>
      </c>
      <c r="HK19" s="428" t="s">
        <v>2193</v>
      </c>
      <c r="HL19" s="351" t="s">
        <v>2243</v>
      </c>
      <c r="HM19">
        <v>20</v>
      </c>
      <c r="HN19" s="262" t="s">
        <v>2092</v>
      </c>
      <c r="HP19" s="430"/>
      <c r="HQ19" s="428"/>
      <c r="HR19" s="359" t="s">
        <v>2238</v>
      </c>
      <c r="HS19">
        <f>9+10.96</f>
        <v>19.96</v>
      </c>
      <c r="HT19" s="66" t="s">
        <v>2253</v>
      </c>
      <c r="HU19">
        <v>0</v>
      </c>
      <c r="HV19" s="429" t="s">
        <v>2380</v>
      </c>
      <c r="HW19" s="561">
        <v>18.8</v>
      </c>
      <c r="HX19" s="359" t="s">
        <v>1229</v>
      </c>
      <c r="HY19">
        <f>6.5+15+10+6.7</f>
        <v>38.200000000000003</v>
      </c>
      <c r="HZ19" s="66" t="s">
        <v>2409</v>
      </c>
      <c r="IA19">
        <v>12000</v>
      </c>
      <c r="IB19" s="603" t="s">
        <v>2424</v>
      </c>
      <c r="IC19" s="604">
        <v>146.22999999999999</v>
      </c>
      <c r="ID19" s="359" t="s">
        <v>1985</v>
      </c>
      <c r="IE19" s="435">
        <v>16.18</v>
      </c>
      <c r="IF19" s="66" t="s">
        <v>2459</v>
      </c>
      <c r="IG19" s="2">
        <v>2234</v>
      </c>
      <c r="IH19" t="s">
        <v>2488</v>
      </c>
      <c r="II19" s="580">
        <v>35.67</v>
      </c>
      <c r="IJ19" s="359" t="s">
        <v>2438</v>
      </c>
      <c r="IK19">
        <v>114.44</v>
      </c>
      <c r="IL19" s="66" t="s">
        <v>2516</v>
      </c>
      <c r="IM19">
        <f>10502+14002</f>
        <v>24504</v>
      </c>
      <c r="IO19" s="580"/>
      <c r="IP19" s="359" t="s">
        <v>2238</v>
      </c>
      <c r="IQ19" s="61"/>
      <c r="IR19" s="66" t="s">
        <v>2516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2015</v>
      </c>
      <c r="GA20">
        <f>207-202</f>
        <v>5</v>
      </c>
      <c r="GB20" s="359" t="s">
        <v>2008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2008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2067</v>
      </c>
      <c r="GO20" t="s">
        <v>2066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2147</v>
      </c>
      <c r="HA20">
        <v>77.3</v>
      </c>
      <c r="HB20" s="1" t="s">
        <v>1958</v>
      </c>
      <c r="HC20" s="262">
        <v>827</v>
      </c>
      <c r="HF20" s="359" t="s">
        <v>2112</v>
      </c>
      <c r="HG20" s="435">
        <f>2525.92/7</f>
        <v>360.84571428571428</v>
      </c>
      <c r="HH20" s="1" t="s">
        <v>2054</v>
      </c>
      <c r="HI20" s="285">
        <v>3000</v>
      </c>
      <c r="HJ20" s="449">
        <f>SUM(HJ15:HJ19)</f>
        <v>4926.7800000000007</v>
      </c>
      <c r="HK20" s="428" t="s">
        <v>2197</v>
      </c>
      <c r="HL20" s="351" t="s">
        <v>2199</v>
      </c>
      <c r="HM20">
        <v>33.5</v>
      </c>
      <c r="HN20" s="7" t="s">
        <v>2041</v>
      </c>
      <c r="HO20">
        <v>1000</v>
      </c>
      <c r="HR20" s="359" t="s">
        <v>2306</v>
      </c>
      <c r="HS20">
        <v>160</v>
      </c>
      <c r="HT20" s="66" t="s">
        <v>2255</v>
      </c>
      <c r="HU20">
        <v>2063</v>
      </c>
      <c r="HV20" s="430"/>
      <c r="HW20" s="560"/>
      <c r="HX20" s="359" t="s">
        <v>1024</v>
      </c>
      <c r="HY20">
        <f>9</f>
        <v>9</v>
      </c>
      <c r="HZ20" s="66" t="s">
        <v>2408</v>
      </c>
      <c r="IB20" s="606" t="s">
        <v>2425</v>
      </c>
      <c r="IC20" s="607">
        <v>626.70000000000005</v>
      </c>
      <c r="ID20" s="359" t="s">
        <v>2217</v>
      </c>
      <c r="IE20" s="435" t="s">
        <v>2503</v>
      </c>
      <c r="IF20" s="66" t="s">
        <v>2322</v>
      </c>
      <c r="IG20" s="2">
        <v>60000</v>
      </c>
      <c r="IH20" t="s">
        <v>2491</v>
      </c>
      <c r="II20">
        <f>18*2</f>
        <v>36</v>
      </c>
      <c r="IJ20" s="359" t="s">
        <v>1229</v>
      </c>
      <c r="IK20">
        <f>6.5+15</f>
        <v>21.5</v>
      </c>
      <c r="IL20" s="66" t="s">
        <v>2322</v>
      </c>
      <c r="IM20" s="2">
        <v>60000</v>
      </c>
      <c r="IN20" s="430"/>
      <c r="IO20" s="614"/>
      <c r="IP20" s="359" t="s">
        <v>2582</v>
      </c>
      <c r="IQ20" s="61">
        <v>42.65</v>
      </c>
      <c r="IR20" s="66" t="s">
        <v>2322</v>
      </c>
      <c r="IS20" s="2">
        <f>'&gt;FD'!$F$18</f>
        <v>30000.02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2014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2008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2200</v>
      </c>
      <c r="GU21">
        <f>9.01+15+6.5</f>
        <v>30.509999999999998</v>
      </c>
      <c r="GV21" s="1" t="s">
        <v>1960</v>
      </c>
      <c r="GW21" s="285">
        <v>48</v>
      </c>
      <c r="GZ21" s="359" t="s">
        <v>2150</v>
      </c>
      <c r="HA21">
        <v>97.12</v>
      </c>
      <c r="HB21" s="1" t="s">
        <v>1959</v>
      </c>
      <c r="HC21" s="262">
        <v>0</v>
      </c>
      <c r="HD21" t="s">
        <v>2237</v>
      </c>
      <c r="HF21" s="359" t="s">
        <v>2184</v>
      </c>
      <c r="HG21" s="6">
        <v>85</v>
      </c>
      <c r="HH21" s="1" t="s">
        <v>2055</v>
      </c>
      <c r="HI21" s="285">
        <v>4000</v>
      </c>
      <c r="HK21" s="428"/>
      <c r="HL21" s="351" t="s">
        <v>2210</v>
      </c>
      <c r="HM21">
        <v>48.88</v>
      </c>
      <c r="HN21" s="1" t="s">
        <v>2054</v>
      </c>
      <c r="HO21" s="285">
        <v>3000</v>
      </c>
      <c r="HR21" s="359" t="s">
        <v>2305</v>
      </c>
      <c r="HS21">
        <v>42.65</v>
      </c>
      <c r="HT21" s="66" t="s">
        <v>2256</v>
      </c>
      <c r="HU21">
        <f>5000+5000+5000</f>
        <v>15000</v>
      </c>
      <c r="HW21" s="560"/>
      <c r="HX21" s="359" t="s">
        <v>2350</v>
      </c>
      <c r="HY21">
        <v>64</v>
      </c>
      <c r="HZ21" s="562" t="s">
        <v>2356</v>
      </c>
      <c r="IA21" s="609">
        <v>345026.96</v>
      </c>
      <c r="IB21" s="610" t="s">
        <v>2425</v>
      </c>
      <c r="IC21" s="611">
        <v>598.5</v>
      </c>
      <c r="ID21" s="359" t="s">
        <v>2504</v>
      </c>
      <c r="IE21" s="145">
        <v>137.03</v>
      </c>
      <c r="IF21" s="66" t="s">
        <v>2323</v>
      </c>
      <c r="IG21" s="2">
        <v>50001</v>
      </c>
      <c r="IH21" t="s">
        <v>2497</v>
      </c>
      <c r="II21">
        <v>18</v>
      </c>
      <c r="IJ21" s="359" t="s">
        <v>2238</v>
      </c>
      <c r="IK21">
        <v>9</v>
      </c>
      <c r="IL21" s="562" t="s">
        <v>2356</v>
      </c>
      <c r="IM21" s="248">
        <f>'&gt;FD'!C19</f>
        <v>65005.100000000006</v>
      </c>
      <c r="IN21" s="429"/>
      <c r="IO21" s="614"/>
      <c r="IP21" s="359" t="s">
        <v>2583</v>
      </c>
      <c r="IQ21" s="52">
        <f>IM29</f>
        <v>21.35</v>
      </c>
      <c r="IR21" s="562" t="s">
        <v>2356</v>
      </c>
      <c r="IS21" s="248">
        <f>'&gt;FD'!C19</f>
        <v>65005.100000000006</v>
      </c>
      <c r="IT21" s="108"/>
      <c r="IU21" s="52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96" t="s">
        <v>515</v>
      </c>
      <c r="N22" s="696"/>
      <c r="Q22" s="169" t="s">
        <v>371</v>
      </c>
      <c r="S22" s="696" t="s">
        <v>515</v>
      </c>
      <c r="T22" s="696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93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2043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2054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2172</v>
      </c>
      <c r="HE22">
        <v>10</v>
      </c>
      <c r="HF22" s="359" t="s">
        <v>2150</v>
      </c>
      <c r="HG22">
        <v>16.71</v>
      </c>
      <c r="HH22" s="1" t="s">
        <v>2056</v>
      </c>
      <c r="HI22" s="285">
        <v>25000</v>
      </c>
      <c r="HK22" s="428"/>
      <c r="HL22" s="351" t="s">
        <v>2220</v>
      </c>
      <c r="HM22">
        <v>115.9</v>
      </c>
      <c r="HN22" s="1" t="s">
        <v>2213</v>
      </c>
      <c r="HO22" s="285">
        <v>4000</v>
      </c>
      <c r="HR22" s="359" t="s">
        <v>2304</v>
      </c>
      <c r="HS22">
        <v>64</v>
      </c>
      <c r="HT22" s="66" t="s">
        <v>2257</v>
      </c>
      <c r="HU22">
        <f>5002+10000+5002+10002+5000</f>
        <v>35006</v>
      </c>
      <c r="HW22" s="428"/>
      <c r="HX22" s="359" t="s">
        <v>2394</v>
      </c>
      <c r="HY22">
        <v>30</v>
      </c>
      <c r="HZ22" s="66" t="s">
        <v>2255</v>
      </c>
      <c r="IA22" s="285">
        <v>2000</v>
      </c>
      <c r="IB22" s="612" t="s">
        <v>2423</v>
      </c>
      <c r="IC22" s="613">
        <f>19.95*3</f>
        <v>59.849999999999994</v>
      </c>
      <c r="ID22" s="359" t="s">
        <v>2438</v>
      </c>
      <c r="IE22">
        <v>167</v>
      </c>
      <c r="IF22" s="1" t="s">
        <v>2368</v>
      </c>
      <c r="IG22" s="285">
        <v>-80000</v>
      </c>
      <c r="IH22" t="s">
        <v>2521</v>
      </c>
      <c r="II22">
        <f>9.86*4</f>
        <v>39.44</v>
      </c>
      <c r="IJ22" s="359" t="s">
        <v>2319</v>
      </c>
      <c r="IK22">
        <v>64</v>
      </c>
      <c r="IL22" s="66" t="s">
        <v>2459</v>
      </c>
      <c r="IM22" s="281">
        <v>2190</v>
      </c>
      <c r="IN22" s="429"/>
      <c r="IO22" s="614"/>
      <c r="IP22" s="359" t="s">
        <v>2469</v>
      </c>
      <c r="IQ22" s="61">
        <f>17.6+10+15.04</f>
        <v>42.64</v>
      </c>
      <c r="IR22" s="66" t="s">
        <v>2459</v>
      </c>
      <c r="IS22" s="281">
        <v>2340</v>
      </c>
      <c r="IT22" s="108">
        <v>44916</v>
      </c>
      <c r="IU22" s="281"/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94" t="s">
        <v>1002</v>
      </c>
      <c r="N23" s="694"/>
      <c r="Q23" s="169" t="s">
        <v>375</v>
      </c>
      <c r="S23" s="694" t="s">
        <v>1002</v>
      </c>
      <c r="T23" s="694"/>
      <c r="W23" s="250" t="s">
        <v>1031</v>
      </c>
      <c r="X23" s="145">
        <v>0</v>
      </c>
      <c r="Y23" s="696" t="s">
        <v>515</v>
      </c>
      <c r="Z23" s="696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93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2054</v>
      </c>
      <c r="GQ23" s="285">
        <v>3000</v>
      </c>
      <c r="GR23" s="60" t="s">
        <v>2091</v>
      </c>
      <c r="GT23" s="359" t="s">
        <v>1572</v>
      </c>
      <c r="GU23">
        <v>64</v>
      </c>
      <c r="GV23" s="1" t="s">
        <v>2055</v>
      </c>
      <c r="GW23" s="285">
        <v>4000</v>
      </c>
      <c r="GZ23" s="359" t="s">
        <v>2201</v>
      </c>
      <c r="HA23">
        <f>10.96+9.01+6.5+15</f>
        <v>41.47</v>
      </c>
      <c r="HB23" s="1" t="s">
        <v>2054</v>
      </c>
      <c r="HC23" s="285">
        <v>3000</v>
      </c>
      <c r="HD23" t="s">
        <v>2191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56" t="s">
        <v>2212</v>
      </c>
      <c r="HK23" s="656"/>
      <c r="HL23" s="351" t="s">
        <v>2219</v>
      </c>
      <c r="HM23">
        <v>57.3</v>
      </c>
      <c r="HN23" s="1" t="s">
        <v>2056</v>
      </c>
      <c r="HO23" s="285">
        <v>25000</v>
      </c>
      <c r="HR23" s="359" t="s">
        <v>2309</v>
      </c>
      <c r="HS23">
        <v>10</v>
      </c>
      <c r="HT23" s="66" t="s">
        <v>2280</v>
      </c>
      <c r="HU23">
        <f>5002+10000+10000+5000</f>
        <v>30002</v>
      </c>
      <c r="HV23" s="656" t="s">
        <v>2212</v>
      </c>
      <c r="HW23" s="656"/>
      <c r="HX23" s="359" t="s">
        <v>2027</v>
      </c>
      <c r="HY23" s="444">
        <f>17.86+15.16+7.54+15.3+16.45+13.02</f>
        <v>85.33</v>
      </c>
      <c r="HZ23" s="66" t="s">
        <v>2322</v>
      </c>
      <c r="IA23" s="2">
        <v>60000.04</v>
      </c>
      <c r="IB23" s="430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2522</v>
      </c>
      <c r="II23">
        <f>2.74+2.52+1.19*2</f>
        <v>7.64</v>
      </c>
      <c r="IJ23" s="359" t="s">
        <v>2469</v>
      </c>
      <c r="IK23" s="444">
        <f>20.75+15.85+16.8+10+21.56+17.42+14.05+10</f>
        <v>126.43</v>
      </c>
      <c r="IL23" s="1" t="s">
        <v>2558</v>
      </c>
      <c r="IM23">
        <v>150</v>
      </c>
      <c r="IN23" s="430"/>
      <c r="IP23" s="351" t="s">
        <v>1898</v>
      </c>
      <c r="IQ23" s="61"/>
      <c r="IR23" s="1" t="s">
        <v>2565</v>
      </c>
      <c r="IS23">
        <v>150</v>
      </c>
      <c r="IT23" s="108">
        <v>44910</v>
      </c>
    </row>
    <row r="24" spans="1:255" x14ac:dyDescent="0.2">
      <c r="A24" s="696" t="s">
        <v>515</v>
      </c>
      <c r="B24" s="696"/>
      <c r="E24" s="167" t="s">
        <v>237</v>
      </c>
      <c r="F24" s="169"/>
      <c r="G24" s="696" t="s">
        <v>515</v>
      </c>
      <c r="H24" s="696"/>
      <c r="K24" s="250" t="s">
        <v>1031</v>
      </c>
      <c r="L24" s="145">
        <v>0</v>
      </c>
      <c r="M24" s="650"/>
      <c r="N24" s="650"/>
      <c r="Q24" s="169" t="s">
        <v>1077</v>
      </c>
      <c r="S24" s="650"/>
      <c r="T24" s="650"/>
      <c r="W24" s="250" t="s">
        <v>1039</v>
      </c>
      <c r="X24" s="210">
        <v>0</v>
      </c>
      <c r="Y24" s="694" t="s">
        <v>1002</v>
      </c>
      <c r="Z24" s="694"/>
      <c r="AC24"/>
      <c r="AE24" s="696" t="s">
        <v>515</v>
      </c>
      <c r="AF24" s="696"/>
      <c r="AI24"/>
      <c r="AK24" s="696" t="s">
        <v>515</v>
      </c>
      <c r="AL24" s="696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92" t="s">
        <v>1571</v>
      </c>
      <c r="EF24" s="692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93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93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2029</v>
      </c>
      <c r="GC24">
        <v>64</v>
      </c>
      <c r="GD24" s="1" t="s">
        <v>1734</v>
      </c>
      <c r="GE24" s="285">
        <v>2000</v>
      </c>
      <c r="GF24" t="s">
        <v>2024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2055</v>
      </c>
      <c r="GQ24" s="285">
        <v>4000</v>
      </c>
      <c r="GT24" s="359" t="s">
        <v>2026</v>
      </c>
      <c r="GU24">
        <f>10+10</f>
        <v>20</v>
      </c>
      <c r="GV24" s="1" t="s">
        <v>2056</v>
      </c>
      <c r="GW24" s="285">
        <v>25000</v>
      </c>
      <c r="GZ24" s="359" t="s">
        <v>2202</v>
      </c>
      <c r="HA24">
        <f>10+2.2</f>
        <v>12.2</v>
      </c>
      <c r="HB24" s="1" t="s">
        <v>2055</v>
      </c>
      <c r="HC24" s="285">
        <v>4000</v>
      </c>
      <c r="HD24" t="s">
        <v>2194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2248</v>
      </c>
      <c r="HM24" s="6">
        <v>130</v>
      </c>
      <c r="HN24" s="1" t="s">
        <v>1673</v>
      </c>
      <c r="HO24" s="285">
        <v>2000</v>
      </c>
      <c r="HR24" s="359" t="s">
        <v>2027</v>
      </c>
      <c r="HS24" s="444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2393</v>
      </c>
      <c r="HY24">
        <f>10+10</f>
        <v>20</v>
      </c>
      <c r="HZ24" s="66" t="s">
        <v>2323</v>
      </c>
      <c r="IA24" s="2">
        <v>160001.65</v>
      </c>
      <c r="IB24" s="430"/>
      <c r="ID24" s="359" t="s">
        <v>1024</v>
      </c>
      <c r="IE24">
        <f>9</f>
        <v>9</v>
      </c>
      <c r="IF24" s="7" t="s">
        <v>2041</v>
      </c>
      <c r="IG24">
        <v>1002</v>
      </c>
      <c r="IJ24" s="351" t="s">
        <v>2538</v>
      </c>
      <c r="IK24">
        <v>60</v>
      </c>
      <c r="IL24" s="634" t="s">
        <v>2563</v>
      </c>
      <c r="IM24">
        <v>1004</v>
      </c>
      <c r="IN24" s="656" t="s">
        <v>2212</v>
      </c>
      <c r="IO24" s="656"/>
      <c r="IP24" s="351" t="s">
        <v>2568</v>
      </c>
      <c r="IQ24" s="61">
        <v>40.5</v>
      </c>
      <c r="IR24" s="632" t="s">
        <v>2559</v>
      </c>
    </row>
    <row r="25" spans="1:255" x14ac:dyDescent="0.2">
      <c r="A25" s="694" t="s">
        <v>1002</v>
      </c>
      <c r="B25" s="694"/>
      <c r="E25" s="167" t="s">
        <v>139</v>
      </c>
      <c r="F25" s="169"/>
      <c r="G25" s="694" t="s">
        <v>1002</v>
      </c>
      <c r="H25" s="694"/>
      <c r="K25" s="250" t="s">
        <v>1039</v>
      </c>
      <c r="L25" s="210">
        <v>0</v>
      </c>
      <c r="M25" s="650"/>
      <c r="N25" s="650"/>
      <c r="Q25" s="250" t="s">
        <v>1041</v>
      </c>
      <c r="R25" s="145">
        <v>0</v>
      </c>
      <c r="S25" s="650"/>
      <c r="T25" s="650"/>
      <c r="W25" s="250" t="s">
        <v>1071</v>
      </c>
      <c r="X25" s="145">
        <v>910.17</v>
      </c>
      <c r="Y25" s="650"/>
      <c r="Z25" s="650"/>
      <c r="AC25" s="256" t="s">
        <v>1104</v>
      </c>
      <c r="AD25" s="145">
        <v>90</v>
      </c>
      <c r="AE25" s="694" t="s">
        <v>1002</v>
      </c>
      <c r="AF25" s="694"/>
      <c r="AI25" s="253" t="s">
        <v>1122</v>
      </c>
      <c r="AJ25" s="145">
        <v>30</v>
      </c>
      <c r="AK25" s="694" t="s">
        <v>1002</v>
      </c>
      <c r="AL25" s="694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94"/>
      <c r="BH25" s="694"/>
      <c r="BK25" s="279" t="s">
        <v>1256</v>
      </c>
      <c r="BL25" s="210">
        <v>48.54</v>
      </c>
      <c r="BM25" s="694"/>
      <c r="BN25" s="694"/>
      <c r="BQ25" s="279" t="s">
        <v>1072</v>
      </c>
      <c r="BR25" s="210">
        <v>50.15</v>
      </c>
      <c r="BS25" s="694" t="s">
        <v>1279</v>
      </c>
      <c r="BT25" s="694"/>
      <c r="BW25" s="279" t="s">
        <v>1072</v>
      </c>
      <c r="BX25" s="210">
        <v>48.54</v>
      </c>
      <c r="BY25" s="694"/>
      <c r="BZ25" s="694"/>
      <c r="CC25" s="279" t="s">
        <v>1072</v>
      </c>
      <c r="CD25" s="210">
        <v>142.91</v>
      </c>
      <c r="CE25" s="694"/>
      <c r="CF25" s="694"/>
      <c r="CI25" s="279" t="s">
        <v>1346</v>
      </c>
      <c r="CJ25" s="210">
        <v>35.049999999999997</v>
      </c>
      <c r="CK25" s="650"/>
      <c r="CL25" s="650"/>
      <c r="CO25" s="279" t="s">
        <v>1320</v>
      </c>
      <c r="CP25" s="210">
        <v>153.41</v>
      </c>
      <c r="CQ25" s="650" t="s">
        <v>1361</v>
      </c>
      <c r="CR25" s="650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93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2053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2045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2056</v>
      </c>
      <c r="GQ25" s="285">
        <v>25000</v>
      </c>
      <c r="GT25" s="359" t="s">
        <v>2027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2027</v>
      </c>
      <c r="HA25">
        <f>15.19+14.56+13.54+14.83+17.61+15.15</f>
        <v>90.88</v>
      </c>
      <c r="HB25" s="1" t="s">
        <v>2056</v>
      </c>
      <c r="HC25" s="285">
        <v>25000</v>
      </c>
      <c r="HD25" t="s">
        <v>2190</v>
      </c>
      <c r="HF25" s="359" t="s">
        <v>2209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2510.6742857142858</v>
      </c>
      <c r="HL25" s="9" t="s">
        <v>2247</v>
      </c>
      <c r="HM25" s="9">
        <v>530</v>
      </c>
      <c r="HN25" s="1" t="s">
        <v>1674</v>
      </c>
      <c r="HO25" s="285">
        <v>4000</v>
      </c>
      <c r="HQ25" s="428"/>
      <c r="HR25" s="351" t="s">
        <v>2263</v>
      </c>
      <c r="HS25">
        <v>20</v>
      </c>
      <c r="HT25" s="262" t="s">
        <v>2287</v>
      </c>
      <c r="HV25" s="253" t="s">
        <v>1995</v>
      </c>
      <c r="HW25" s="299">
        <f>SUM(HY10:HY14)</f>
        <v>185486.70428571425</v>
      </c>
      <c r="HX25" s="351" t="s">
        <v>2471</v>
      </c>
      <c r="HY25">
        <v>46.73</v>
      </c>
      <c r="HZ25" s="1" t="s">
        <v>2324</v>
      </c>
      <c r="IA25" s="506">
        <v>-13000</v>
      </c>
      <c r="IB25" s="656" t="s">
        <v>2212</v>
      </c>
      <c r="IC25" s="656"/>
      <c r="ID25" s="359" t="s">
        <v>2319</v>
      </c>
      <c r="IE25">
        <v>32</v>
      </c>
      <c r="IF25" s="636" t="s">
        <v>2566</v>
      </c>
      <c r="IG25" s="635">
        <v>4</v>
      </c>
      <c r="IH25" t="s">
        <v>2429</v>
      </c>
      <c r="II25" s="580"/>
      <c r="IJ25" s="351" t="s">
        <v>2490</v>
      </c>
      <c r="IK25">
        <v>10</v>
      </c>
      <c r="IL25" s="636" t="s">
        <v>2566</v>
      </c>
      <c r="IM25" s="635">
        <v>4</v>
      </c>
      <c r="IN25" s="365" t="s">
        <v>1994</v>
      </c>
      <c r="IO25" s="299">
        <f>SUM(IQ6:IQ7)</f>
        <v>0</v>
      </c>
      <c r="IP25" s="351" t="s">
        <v>2567</v>
      </c>
      <c r="IQ25" s="61">
        <v>88.51</v>
      </c>
      <c r="IR25" s="7" t="s">
        <v>2563</v>
      </c>
      <c r="IS25">
        <v>1004</v>
      </c>
      <c r="IT25" s="108">
        <v>44910</v>
      </c>
    </row>
    <row r="26" spans="1:255" x14ac:dyDescent="0.2">
      <c r="A26" s="650"/>
      <c r="B26" s="650"/>
      <c r="E26" s="203" t="s">
        <v>368</v>
      </c>
      <c r="F26" s="173"/>
      <c r="G26" s="650"/>
      <c r="H26" s="650"/>
      <c r="K26" s="250" t="s">
        <v>1030</v>
      </c>
      <c r="L26" s="145">
        <f>910+40</f>
        <v>950</v>
      </c>
      <c r="M26" s="650"/>
      <c r="N26" s="650"/>
      <c r="Q26" s="250" t="s">
        <v>1038</v>
      </c>
      <c r="R26" s="145">
        <v>0</v>
      </c>
      <c r="S26" s="650"/>
      <c r="T26" s="650"/>
      <c r="W26" s="146" t="s">
        <v>1106</v>
      </c>
      <c r="X26" s="145">
        <v>110.58</v>
      </c>
      <c r="Y26" s="650"/>
      <c r="Z26" s="650"/>
      <c r="AE26" s="650"/>
      <c r="AF26" s="650"/>
      <c r="AK26" s="650"/>
      <c r="AL26" s="650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50"/>
      <c r="AX26" s="650"/>
      <c r="AY26" s="146"/>
      <c r="AZ26" s="210"/>
      <c r="BA26" s="650"/>
      <c r="BB26" s="650"/>
      <c r="BE26" s="146" t="s">
        <v>1229</v>
      </c>
      <c r="BF26" s="210">
        <f>6.5*2</f>
        <v>13</v>
      </c>
      <c r="BG26" s="650"/>
      <c r="BH26" s="650"/>
      <c r="BK26" s="279" t="s">
        <v>1229</v>
      </c>
      <c r="BL26" s="210">
        <f>6.5*2</f>
        <v>13</v>
      </c>
      <c r="BM26" s="650"/>
      <c r="BN26" s="650"/>
      <c r="BQ26" s="279" t="s">
        <v>1229</v>
      </c>
      <c r="BR26" s="210">
        <v>13</v>
      </c>
      <c r="BS26" s="650"/>
      <c r="BT26" s="650"/>
      <c r="BW26" s="279" t="s">
        <v>1229</v>
      </c>
      <c r="BX26" s="210">
        <v>13</v>
      </c>
      <c r="BY26" s="650"/>
      <c r="BZ26" s="650"/>
      <c r="CC26" s="279" t="s">
        <v>1229</v>
      </c>
      <c r="CD26" s="210">
        <v>13</v>
      </c>
      <c r="CE26" s="650"/>
      <c r="CF26" s="650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09" t="s">
        <v>1571</v>
      </c>
      <c r="DZ26" s="710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92" t="s">
        <v>1571</v>
      </c>
      <c r="ES26" s="692"/>
      <c r="ET26" s="1" t="s">
        <v>1738</v>
      </c>
      <c r="EU26" s="285">
        <v>20000</v>
      </c>
      <c r="EW26" s="693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2053</v>
      </c>
      <c r="GC26">
        <v>9</v>
      </c>
      <c r="GD26" s="1" t="s">
        <v>1735</v>
      </c>
      <c r="GE26" s="285">
        <v>1000</v>
      </c>
      <c r="GH26" s="359" t="s">
        <v>2053</v>
      </c>
      <c r="GI26">
        <v>9</v>
      </c>
      <c r="GJ26" s="1" t="s">
        <v>1734</v>
      </c>
      <c r="GK26" s="285">
        <v>2000</v>
      </c>
      <c r="GL26" s="6"/>
      <c r="GN26" s="359" t="s">
        <v>2053</v>
      </c>
      <c r="GO26">
        <v>9</v>
      </c>
      <c r="GP26" s="1" t="s">
        <v>1673</v>
      </c>
      <c r="GQ26" s="285">
        <v>2000</v>
      </c>
      <c r="GR26" s="60"/>
      <c r="GT26" s="351" t="s">
        <v>2094</v>
      </c>
      <c r="GU26">
        <v>8</v>
      </c>
      <c r="GV26" s="1" t="s">
        <v>1674</v>
      </c>
      <c r="GW26" s="285">
        <v>4000</v>
      </c>
      <c r="GX26" s="6"/>
      <c r="GZ26" s="351" t="s">
        <v>2160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45">
        <v>32.770000000000003</v>
      </c>
      <c r="HM26" s="9" t="s">
        <v>2246</v>
      </c>
      <c r="HN26" s="262" t="s">
        <v>1667</v>
      </c>
      <c r="HO26" s="291"/>
      <c r="HQ26" s="428"/>
      <c r="HR26" s="351" t="s">
        <v>2286</v>
      </c>
      <c r="HS26">
        <v>26.6</v>
      </c>
      <c r="HT26" s="636" t="s">
        <v>2566</v>
      </c>
      <c r="HU26" s="635">
        <v>4</v>
      </c>
      <c r="HV26" s="360" t="s">
        <v>2207</v>
      </c>
      <c r="HW26">
        <f>SUM(HY9:HY9)</f>
        <v>535</v>
      </c>
      <c r="HX26" s="351" t="s">
        <v>2395</v>
      </c>
      <c r="HY26">
        <f>32.37+27.07</f>
        <v>59.44</v>
      </c>
      <c r="HZ26" s="1" t="s">
        <v>2368</v>
      </c>
      <c r="IA26" s="285">
        <v>-70000</v>
      </c>
      <c r="IB26" s="365" t="s">
        <v>1994</v>
      </c>
      <c r="IC26" s="299">
        <f>SUM(IE7:IE7)</f>
        <v>1900.11</v>
      </c>
      <c r="ID26" s="359" t="s">
        <v>2469</v>
      </c>
      <c r="IE26" s="444">
        <f>11.74+10+9.21+17.04+10+12.34+15.71+10+15.63+10</f>
        <v>121.66999999999999</v>
      </c>
      <c r="IF26" s="6" t="s">
        <v>2442</v>
      </c>
      <c r="IG26" s="285"/>
      <c r="IH26" s="430" t="s">
        <v>2492</v>
      </c>
      <c r="II26" s="614">
        <v>19.45</v>
      </c>
      <c r="IJ26" s="351" t="s">
        <v>2555</v>
      </c>
      <c r="IK26">
        <f>91.7+12</f>
        <v>103.7</v>
      </c>
      <c r="IL26" s="261" t="s">
        <v>2317</v>
      </c>
      <c r="IM26" s="291"/>
      <c r="IN26" s="253" t="s">
        <v>1995</v>
      </c>
      <c r="IO26" s="299">
        <f>SUM(IQ12:IQ13)</f>
        <v>0</v>
      </c>
      <c r="IP26" s="351" t="s">
        <v>1898</v>
      </c>
      <c r="IQ26" s="61"/>
      <c r="IR26" s="636" t="s">
        <v>2566</v>
      </c>
      <c r="IS26" s="635">
        <v>4</v>
      </c>
      <c r="IT26" s="108">
        <v>44910</v>
      </c>
    </row>
    <row r="27" spans="1:255" x14ac:dyDescent="0.2">
      <c r="A27" s="650"/>
      <c r="B27" s="650"/>
      <c r="F27" s="199"/>
      <c r="G27" s="650"/>
      <c r="H27" s="650"/>
      <c r="K27"/>
      <c r="M27" s="699" t="s">
        <v>514</v>
      </c>
      <c r="N27" s="699"/>
      <c r="Q27" s="250" t="s">
        <v>1031</v>
      </c>
      <c r="R27" s="145">
        <v>0</v>
      </c>
      <c r="S27" s="699" t="s">
        <v>514</v>
      </c>
      <c r="T27" s="699"/>
      <c r="W27" s="146" t="s">
        <v>1072</v>
      </c>
      <c r="X27" s="145">
        <v>60.75</v>
      </c>
      <c r="Y27" s="650"/>
      <c r="Z27" s="650"/>
      <c r="AC27" s="224" t="s">
        <v>1113</v>
      </c>
      <c r="AD27" s="224"/>
      <c r="AE27" s="699" t="s">
        <v>514</v>
      </c>
      <c r="AF27" s="699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92" t="s">
        <v>1571</v>
      </c>
      <c r="EY27" s="692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2026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2078</v>
      </c>
      <c r="GO27">
        <f>20+40+10+10</f>
        <v>80</v>
      </c>
      <c r="GP27" s="1" t="s">
        <v>1674</v>
      </c>
      <c r="GQ27" s="285">
        <v>4000</v>
      </c>
      <c r="GT27" s="351" t="s">
        <v>2109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2156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2027</v>
      </c>
      <c r="HG27">
        <f>12.57+14.64+15.52+10+15.22+15.49+15.3</f>
        <v>98.74</v>
      </c>
      <c r="HH27" s="261" t="s">
        <v>2192</v>
      </c>
      <c r="HI27" s="296">
        <v>74.900000000000006</v>
      </c>
      <c r="HJ27" s="361" t="s">
        <v>2207</v>
      </c>
      <c r="HK27">
        <v>0</v>
      </c>
      <c r="HL27" s="406" t="s">
        <v>2244</v>
      </c>
      <c r="HM27" s="441">
        <f>HI16+HK31-HO18</f>
        <v>240</v>
      </c>
      <c r="HN27" s="426" t="s">
        <v>2240</v>
      </c>
      <c r="HO27" s="291">
        <v>21</v>
      </c>
      <c r="HP27" s="656" t="s">
        <v>2212</v>
      </c>
      <c r="HQ27" s="656"/>
      <c r="HR27" s="351" t="s">
        <v>2293</v>
      </c>
      <c r="HS27">
        <v>10</v>
      </c>
      <c r="HT27" s="7" t="s">
        <v>2041</v>
      </c>
      <c r="HU27">
        <v>1000</v>
      </c>
      <c r="HV27" s="359" t="s">
        <v>2208</v>
      </c>
      <c r="HW27" s="444">
        <f>SUM(HY15:HY23)</f>
        <v>973.77571428571434</v>
      </c>
      <c r="HX27" s="351" t="s">
        <v>2359</v>
      </c>
      <c r="HY27">
        <v>69.569999999999993</v>
      </c>
      <c r="HZ27" s="7" t="s">
        <v>2372</v>
      </c>
      <c r="IA27" s="287">
        <v>0</v>
      </c>
      <c r="IB27" s="253" t="s">
        <v>1995</v>
      </c>
      <c r="IC27" s="299">
        <f>SUM(IE10:IE17)</f>
        <v>51692.183333333334</v>
      </c>
      <c r="ID27" s="351" t="s">
        <v>2463</v>
      </c>
      <c r="IE27">
        <v>30</v>
      </c>
      <c r="IF27" s="608" t="s">
        <v>2460</v>
      </c>
      <c r="IG27" s="291">
        <v>127</v>
      </c>
      <c r="IH27" s="430" t="s">
        <v>2493</v>
      </c>
      <c r="II27" s="614">
        <v>19.45</v>
      </c>
      <c r="IJ27" s="351" t="s">
        <v>2539</v>
      </c>
      <c r="IK27">
        <v>6.8</v>
      </c>
      <c r="IL27" s="261" t="s">
        <v>2507</v>
      </c>
      <c r="IM27">
        <v>41</v>
      </c>
      <c r="IN27" s="376" t="s">
        <v>1426</v>
      </c>
      <c r="IO27">
        <f>SUM(IQ8:IQ8)</f>
        <v>0</v>
      </c>
      <c r="IP27" s="351" t="s">
        <v>1898</v>
      </c>
      <c r="IQ27" s="61"/>
      <c r="IR27" s="261" t="s">
        <v>2317</v>
      </c>
      <c r="IS27" s="291"/>
    </row>
    <row r="28" spans="1:255" x14ac:dyDescent="0.2">
      <c r="A28" s="650"/>
      <c r="B28" s="650"/>
      <c r="E28" s="198" t="s">
        <v>366</v>
      </c>
      <c r="F28" s="199"/>
      <c r="G28" s="650"/>
      <c r="H28" s="650"/>
      <c r="K28" s="146" t="s">
        <v>1029</v>
      </c>
      <c r="L28" s="145">
        <f>60</f>
        <v>60</v>
      </c>
      <c r="M28" s="699" t="s">
        <v>1004</v>
      </c>
      <c r="N28" s="699"/>
      <c r="Q28" s="250" t="s">
        <v>1094</v>
      </c>
      <c r="R28" s="210">
        <v>200</v>
      </c>
      <c r="S28" s="699" t="s">
        <v>1004</v>
      </c>
      <c r="T28" s="699"/>
      <c r="W28" s="146" t="s">
        <v>1028</v>
      </c>
      <c r="X28" s="145">
        <v>61.35</v>
      </c>
      <c r="Y28" s="699" t="s">
        <v>514</v>
      </c>
      <c r="Z28" s="699"/>
      <c r="AC28" s="224" t="s">
        <v>1109</v>
      </c>
      <c r="AD28" s="224">
        <f>53+207+63</f>
        <v>323</v>
      </c>
      <c r="AE28" s="699" t="s">
        <v>1004</v>
      </c>
      <c r="AF28" s="699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92" t="s">
        <v>1782</v>
      </c>
      <c r="FE28" s="692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2027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2027</v>
      </c>
      <c r="GO28">
        <f>8.9+15.69+15.34+15.72</f>
        <v>55.65</v>
      </c>
      <c r="GP28" s="1" t="s">
        <v>1923</v>
      </c>
      <c r="GQ28" s="285" t="s">
        <v>1100</v>
      </c>
      <c r="GT28" s="351" t="s">
        <v>2102</v>
      </c>
      <c r="GU28">
        <v>5.4</v>
      </c>
      <c r="GV28" s="1" t="s">
        <v>1948</v>
      </c>
      <c r="GW28" s="285">
        <v>0</v>
      </c>
      <c r="GZ28" s="351" t="s">
        <v>2168</v>
      </c>
      <c r="HA28">
        <v>20</v>
      </c>
      <c r="HB28" s="6" t="s">
        <v>1846</v>
      </c>
      <c r="HC28" s="285">
        <v>300</v>
      </c>
      <c r="HF28" s="351" t="s">
        <v>2179</v>
      </c>
      <c r="HG28">
        <f>35.9+3.3</f>
        <v>39.199999999999996</v>
      </c>
      <c r="HH28" s="426" t="s">
        <v>2182</v>
      </c>
      <c r="HI28" s="429">
        <v>3179.26</v>
      </c>
      <c r="HJ28" s="362" t="s">
        <v>2208</v>
      </c>
      <c r="HK28" s="424">
        <f>SUM(HM10:HM18)</f>
        <v>986.69671428571439</v>
      </c>
      <c r="HL28" s="442">
        <v>60</v>
      </c>
      <c r="HM28" s="354" t="s">
        <v>1863</v>
      </c>
      <c r="HN28" s="261" t="s">
        <v>2250</v>
      </c>
      <c r="HO28" s="291">
        <v>214</v>
      </c>
      <c r="HP28" s="365" t="s">
        <v>1994</v>
      </c>
      <c r="HQ28" s="299">
        <f>SUM(HS7:HS7)</f>
        <v>1900.09</v>
      </c>
      <c r="HR28" s="351" t="s">
        <v>2290</v>
      </c>
      <c r="HS28">
        <v>10</v>
      </c>
      <c r="HT28" s="1" t="s">
        <v>2054</v>
      </c>
      <c r="HU28" s="285">
        <v>3000</v>
      </c>
      <c r="HV28" s="351" t="s">
        <v>2206</v>
      </c>
      <c r="HW28">
        <f>SUM(HY26:HY29)</f>
        <v>205.20999999999998</v>
      </c>
      <c r="HX28" s="351" t="s">
        <v>2385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2436</v>
      </c>
      <c r="IE28">
        <v>329.76</v>
      </c>
      <c r="IF28" s="261" t="s">
        <v>2458</v>
      </c>
      <c r="IG28" s="291">
        <v>111</v>
      </c>
      <c r="IH28" s="430" t="s">
        <v>2494</v>
      </c>
      <c r="II28" s="614">
        <v>19.45</v>
      </c>
      <c r="IJ28" s="351" t="s">
        <v>2506</v>
      </c>
      <c r="IK28">
        <f>3.8*2+9.9</f>
        <v>17.5</v>
      </c>
      <c r="IL28" s="261" t="s">
        <v>2527</v>
      </c>
      <c r="IN28" s="360" t="s">
        <v>2207</v>
      </c>
      <c r="IO28">
        <f>SUM(IQ9:IQ11)</f>
        <v>210.89</v>
      </c>
      <c r="IP28" s="351" t="s">
        <v>1898</v>
      </c>
      <c r="IQ28" s="61"/>
      <c r="IR28" s="261" t="s">
        <v>2507</v>
      </c>
      <c r="IS28">
        <v>41</v>
      </c>
    </row>
    <row r="29" spans="1:255" x14ac:dyDescent="0.2">
      <c r="A29" s="699" t="s">
        <v>514</v>
      </c>
      <c r="B29" s="699"/>
      <c r="E29" s="198" t="s">
        <v>282</v>
      </c>
      <c r="F29" s="199"/>
      <c r="G29" s="699" t="s">
        <v>514</v>
      </c>
      <c r="H29" s="699"/>
      <c r="K29" s="146" t="s">
        <v>1028</v>
      </c>
      <c r="L29" s="145">
        <v>0</v>
      </c>
      <c r="M29" s="698" t="s">
        <v>93</v>
      </c>
      <c r="N29" s="698"/>
      <c r="Q29" s="250" t="s">
        <v>1071</v>
      </c>
      <c r="R29" s="145">
        <v>0</v>
      </c>
      <c r="S29" s="698" t="s">
        <v>93</v>
      </c>
      <c r="T29" s="698"/>
      <c r="W29" s="146" t="s">
        <v>1027</v>
      </c>
      <c r="X29" s="145">
        <v>64</v>
      </c>
      <c r="Y29" s="699" t="s">
        <v>1004</v>
      </c>
      <c r="Z29" s="699"/>
      <c r="AC29" s="224" t="s">
        <v>1110</v>
      </c>
      <c r="AD29" s="224">
        <f>63+46</f>
        <v>109</v>
      </c>
      <c r="AE29" s="698" t="s">
        <v>93</v>
      </c>
      <c r="AF29" s="698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92" t="s">
        <v>1571</v>
      </c>
      <c r="EM29" s="692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2011</v>
      </c>
      <c r="GI29">
        <v>70</v>
      </c>
      <c r="GJ29" s="1" t="s">
        <v>1923</v>
      </c>
      <c r="GK29" s="285">
        <v>808</v>
      </c>
      <c r="GN29" s="351" t="s">
        <v>2082</v>
      </c>
      <c r="GO29">
        <v>20</v>
      </c>
      <c r="GP29" s="1" t="s">
        <v>1923</v>
      </c>
      <c r="GQ29" s="285" t="s">
        <v>1100</v>
      </c>
      <c r="GT29" s="351" t="s">
        <v>2117</v>
      </c>
      <c r="GU29">
        <v>10</v>
      </c>
      <c r="GV29" s="262" t="s">
        <v>1667</v>
      </c>
      <c r="GW29" s="291"/>
      <c r="GZ29" s="351" t="s">
        <v>2137</v>
      </c>
      <c r="HA29">
        <v>505.66</v>
      </c>
      <c r="HB29" s="1" t="s">
        <v>1948</v>
      </c>
      <c r="HC29" s="285">
        <v>0</v>
      </c>
      <c r="HD29" s="1"/>
      <c r="HF29" s="351" t="s">
        <v>2203</v>
      </c>
      <c r="HG29">
        <f>74.8-6.1</f>
        <v>68.7</v>
      </c>
      <c r="HH29" t="s">
        <v>2188</v>
      </c>
      <c r="HI29" s="207">
        <v>-114.61</v>
      </c>
      <c r="HJ29" s="363" t="s">
        <v>2206</v>
      </c>
      <c r="HK29">
        <f>SUM(HM19:HM23)</f>
        <v>275.58</v>
      </c>
      <c r="HL29" s="442">
        <v>20</v>
      </c>
      <c r="HM29" s="354" t="s">
        <v>2164</v>
      </c>
      <c r="HN29" s="426"/>
      <c r="HO29" s="291"/>
      <c r="HP29" s="253" t="s">
        <v>1995</v>
      </c>
      <c r="HQ29" s="299">
        <f>SUM(HS10:HS12)</f>
        <v>2421.5742857142859</v>
      </c>
      <c r="HR29" s="351" t="s">
        <v>2307</v>
      </c>
      <c r="HS29">
        <v>14</v>
      </c>
      <c r="HT29" s="1" t="s">
        <v>2213</v>
      </c>
      <c r="HU29" s="285">
        <v>4000</v>
      </c>
      <c r="HX29" s="351" t="s">
        <v>2383</v>
      </c>
      <c r="HY29">
        <v>11</v>
      </c>
      <c r="HZ29" s="262" t="s">
        <v>2287</v>
      </c>
      <c r="IB29" s="360" t="s">
        <v>2207</v>
      </c>
      <c r="IC29">
        <f>SUM(IE9:IE9)</f>
        <v>32.1</v>
      </c>
      <c r="ID29" s="351" t="s">
        <v>2435</v>
      </c>
      <c r="IE29">
        <v>80</v>
      </c>
      <c r="IF29" s="261" t="s">
        <v>2317</v>
      </c>
      <c r="IG29" s="291"/>
      <c r="IH29" s="429" t="s">
        <v>2495</v>
      </c>
      <c r="II29" s="614">
        <f>19.45*3</f>
        <v>58.349999999999994</v>
      </c>
      <c r="IJ29" s="351" t="s">
        <v>2541</v>
      </c>
      <c r="IK29">
        <f>7.15+14.85</f>
        <v>22</v>
      </c>
      <c r="IL29" s="428" t="s">
        <v>2318</v>
      </c>
      <c r="IM29" s="507">
        <v>21.35</v>
      </c>
      <c r="IN29" s="359" t="s">
        <v>2208</v>
      </c>
      <c r="IO29" s="444">
        <f>SUM(IQ14:IQ22)</f>
        <v>106.64</v>
      </c>
      <c r="IP29" s="351" t="s">
        <v>1898</v>
      </c>
      <c r="IQ29" s="61"/>
      <c r="IR29" s="261" t="s">
        <v>2527</v>
      </c>
    </row>
    <row r="30" spans="1:255" x14ac:dyDescent="0.2">
      <c r="A30" s="699" t="s">
        <v>1004</v>
      </c>
      <c r="B30" s="699"/>
      <c r="E30" s="198" t="s">
        <v>378</v>
      </c>
      <c r="F30" s="199"/>
      <c r="G30" s="699" t="s">
        <v>1004</v>
      </c>
      <c r="H30" s="699"/>
      <c r="K30" s="146" t="s">
        <v>1027</v>
      </c>
      <c r="L30" s="145">
        <v>64</v>
      </c>
      <c r="M30" s="650" t="s">
        <v>391</v>
      </c>
      <c r="N30" s="650"/>
      <c r="Q30"/>
      <c r="S30" s="650" t="s">
        <v>391</v>
      </c>
      <c r="T30" s="650"/>
      <c r="W30" s="146" t="s">
        <v>1026</v>
      </c>
      <c r="X30" s="145">
        <v>100.01</v>
      </c>
      <c r="Y30" s="698" t="s">
        <v>93</v>
      </c>
      <c r="Z30" s="698"/>
      <c r="AC30" s="145" t="s">
        <v>1108</v>
      </c>
      <c r="AD30" s="145">
        <v>65</v>
      </c>
      <c r="AE30" s="650" t="s">
        <v>391</v>
      </c>
      <c r="AF30" s="650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92" t="s">
        <v>1782</v>
      </c>
      <c r="FK30" s="692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2047</v>
      </c>
      <c r="GI30">
        <v>16</v>
      </c>
      <c r="GJ30" s="6" t="s">
        <v>1846</v>
      </c>
      <c r="GK30" s="285">
        <v>300</v>
      </c>
      <c r="GN30" s="351" t="s">
        <v>2068</v>
      </c>
      <c r="GO30">
        <v>10</v>
      </c>
      <c r="GP30" s="6" t="s">
        <v>1846</v>
      </c>
      <c r="GQ30" s="285">
        <v>300</v>
      </c>
      <c r="GR30" s="6"/>
      <c r="GT30" s="351" t="s">
        <v>2101</v>
      </c>
      <c r="GU30">
        <v>10</v>
      </c>
      <c r="GV30" s="261" t="s">
        <v>2107</v>
      </c>
      <c r="GW30" s="291">
        <v>1159.4000000000001</v>
      </c>
      <c r="GZ30" s="351" t="s">
        <v>2142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26" t="s">
        <v>2180</v>
      </c>
      <c r="HI30" s="429">
        <v>258.44</v>
      </c>
      <c r="HL30" s="442">
        <v>60</v>
      </c>
      <c r="HM30" s="354" t="s">
        <v>2189</v>
      </c>
      <c r="HP30" s="376" t="s">
        <v>1426</v>
      </c>
      <c r="HQ30">
        <v>0</v>
      </c>
      <c r="HR30" s="351" t="s">
        <v>2142</v>
      </c>
      <c r="HS30">
        <v>80</v>
      </c>
      <c r="HT30" s="1" t="s">
        <v>2056</v>
      </c>
      <c r="HU30" s="285">
        <v>25000</v>
      </c>
      <c r="HX30" t="s">
        <v>2248</v>
      </c>
      <c r="HY30" s="6">
        <v>20</v>
      </c>
      <c r="HZ30" s="636" t="s">
        <v>2566</v>
      </c>
      <c r="IA30" s="635">
        <v>4</v>
      </c>
      <c r="IB30" s="359" t="s">
        <v>2208</v>
      </c>
      <c r="IC30" s="444">
        <f>SUM(IE18:IE26)</f>
        <v>962.81666666666661</v>
      </c>
      <c r="ID30" s="351" t="s">
        <v>2465</v>
      </c>
      <c r="IE30">
        <v>62</v>
      </c>
      <c r="IF30" s="428" t="s">
        <v>2318</v>
      </c>
      <c r="IG30" s="507">
        <v>21.35</v>
      </c>
      <c r="IH30" s="429" t="s">
        <v>2496</v>
      </c>
      <c r="II30" s="614">
        <f>19.45*25</f>
        <v>486.25</v>
      </c>
      <c r="IJ30" s="351" t="s">
        <v>2540</v>
      </c>
      <c r="IK30">
        <v>34</v>
      </c>
      <c r="IL30" s="639" t="s">
        <v>2571</v>
      </c>
      <c r="IM30">
        <v>1.49</v>
      </c>
      <c r="IN30" s="351" t="s">
        <v>2206</v>
      </c>
      <c r="IO30">
        <f>SUM(IQ23:IQ29)</f>
        <v>129.01</v>
      </c>
      <c r="IP30" t="s">
        <v>2248</v>
      </c>
      <c r="IQ30" s="78">
        <v>2</v>
      </c>
      <c r="IR30" s="641" t="s">
        <v>2573</v>
      </c>
      <c r="IS30" s="640" t="s">
        <v>2575</v>
      </c>
    </row>
    <row r="31" spans="1:255" ht="12.75" customHeight="1" x14ac:dyDescent="0.2">
      <c r="A31" s="698" t="s">
        <v>93</v>
      </c>
      <c r="B31" s="698"/>
      <c r="E31" s="198" t="s">
        <v>1019</v>
      </c>
      <c r="F31" s="173"/>
      <c r="G31" s="698" t="s">
        <v>93</v>
      </c>
      <c r="H31" s="698"/>
      <c r="K31" s="146" t="s">
        <v>1026</v>
      </c>
      <c r="L31" s="145">
        <v>50.01</v>
      </c>
      <c r="M31" s="697" t="s">
        <v>1013</v>
      </c>
      <c r="N31" s="697"/>
      <c r="Q31" s="146" t="s">
        <v>1073</v>
      </c>
      <c r="R31" s="145">
        <v>26</v>
      </c>
      <c r="S31" s="697" t="s">
        <v>1013</v>
      </c>
      <c r="T31" s="697"/>
      <c r="W31"/>
      <c r="Y31" s="650" t="s">
        <v>391</v>
      </c>
      <c r="Z31" s="650"/>
      <c r="AC31" s="145" t="s">
        <v>1111</v>
      </c>
      <c r="AD31" s="145">
        <v>10</v>
      </c>
      <c r="AE31" s="697" t="s">
        <v>1013</v>
      </c>
      <c r="AF31" s="697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2006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2083</v>
      </c>
      <c r="GO31">
        <v>14.06</v>
      </c>
      <c r="GP31" s="262" t="s">
        <v>1667</v>
      </c>
      <c r="GQ31" s="291"/>
      <c r="GR31" s="1"/>
      <c r="GS31" s="3"/>
      <c r="GT31" s="351" t="s">
        <v>2103</v>
      </c>
      <c r="GU31">
        <v>47.67</v>
      </c>
      <c r="GV31" s="261"/>
      <c r="GZ31" s="351" t="s">
        <v>1814</v>
      </c>
      <c r="HA31">
        <v>8</v>
      </c>
      <c r="HB31" s="261" t="s">
        <v>2177</v>
      </c>
      <c r="HC31" s="296">
        <v>1159.4000000000001</v>
      </c>
      <c r="HF31" s="367">
        <v>200</v>
      </c>
      <c r="HG31" s="406"/>
      <c r="HH31" s="426" t="s">
        <v>2180</v>
      </c>
      <c r="HI31" s="429">
        <v>23.05</v>
      </c>
      <c r="HJ31" s="354" t="s">
        <v>2245</v>
      </c>
      <c r="HK31" s="367">
        <v>300</v>
      </c>
      <c r="HL31" s="442">
        <v>45</v>
      </c>
      <c r="HM31" s="354" t="s">
        <v>1637</v>
      </c>
      <c r="HP31" s="360" t="s">
        <v>2207</v>
      </c>
      <c r="HQ31">
        <f>SUM(HS8:HS9)</f>
        <v>1867.15</v>
      </c>
      <c r="HR31" t="s">
        <v>2248</v>
      </c>
      <c r="HS31" s="6">
        <v>37</v>
      </c>
      <c r="HT31" s="1" t="s">
        <v>1673</v>
      </c>
      <c r="HU31" s="285">
        <v>2000</v>
      </c>
      <c r="HX31" s="145" t="s">
        <v>2369</v>
      </c>
      <c r="HY31" s="6">
        <v>10</v>
      </c>
      <c r="HZ31" s="7" t="s">
        <v>2041</v>
      </c>
      <c r="IA31">
        <v>1000</v>
      </c>
      <c r="IB31" s="351" t="s">
        <v>2206</v>
      </c>
      <c r="IC31">
        <f>SUM(IE27:IE35)</f>
        <v>712.47</v>
      </c>
      <c r="ID31" s="351" t="s">
        <v>2472</v>
      </c>
      <c r="IE31">
        <v>10</v>
      </c>
      <c r="IF31" s="261" t="s">
        <v>2362</v>
      </c>
      <c r="IG31" s="507">
        <v>125.91</v>
      </c>
      <c r="IH31" s="429"/>
      <c r="II31" s="614"/>
      <c r="IJ31" s="351" t="s">
        <v>2552</v>
      </c>
      <c r="IK31">
        <f>22+32.4</f>
        <v>54.4</v>
      </c>
      <c r="IL31" s="261"/>
      <c r="IM31" s="291"/>
      <c r="IP31" s="9" t="s">
        <v>2247</v>
      </c>
      <c r="IQ31" s="646">
        <v>102</v>
      </c>
      <c r="IR31" s="648" t="s">
        <v>2577</v>
      </c>
      <c r="IS31" s="647">
        <v>2000</v>
      </c>
    </row>
    <row r="32" spans="1:255" x14ac:dyDescent="0.2">
      <c r="A32" s="650" t="s">
        <v>391</v>
      </c>
      <c r="B32" s="650"/>
      <c r="E32" s="173"/>
      <c r="F32" s="173"/>
      <c r="G32" s="650" t="s">
        <v>391</v>
      </c>
      <c r="H32" s="650"/>
      <c r="K32"/>
      <c r="M32" s="694" t="s">
        <v>243</v>
      </c>
      <c r="N32" s="694"/>
      <c r="Q32" s="146" t="s">
        <v>1072</v>
      </c>
      <c r="R32" s="145">
        <v>55</v>
      </c>
      <c r="S32" s="694" t="s">
        <v>243</v>
      </c>
      <c r="T32" s="694"/>
      <c r="W32" s="249" t="s">
        <v>1093</v>
      </c>
      <c r="X32" s="249">
        <v>0</v>
      </c>
      <c r="Y32" s="697" t="s">
        <v>1013</v>
      </c>
      <c r="Z32" s="697"/>
      <c r="AE32" s="694" t="s">
        <v>243</v>
      </c>
      <c r="AF32" s="694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02" t="s">
        <v>1473</v>
      </c>
      <c r="DP32" s="702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2079</v>
      </c>
      <c r="GO32">
        <v>10</v>
      </c>
      <c r="GP32" s="374" t="s">
        <v>2020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2169</v>
      </c>
      <c r="HA32">
        <v>41.4</v>
      </c>
      <c r="HB32" s="261" t="s">
        <v>2151</v>
      </c>
      <c r="HC32" s="296">
        <v>13.5</v>
      </c>
      <c r="HF32" s="355" t="s">
        <v>2175</v>
      </c>
      <c r="HG32" s="368">
        <f>HC17+HF31-HI16</f>
        <v>200</v>
      </c>
      <c r="HH32" s="428" t="s">
        <v>2193</v>
      </c>
      <c r="HI32" s="430">
        <v>1580.64</v>
      </c>
      <c r="HK32" s="212"/>
      <c r="HL32" s="442">
        <v>5</v>
      </c>
      <c r="HM32" s="354" t="s">
        <v>2249</v>
      </c>
      <c r="HP32" s="359" t="s">
        <v>2208</v>
      </c>
      <c r="HQ32" s="444">
        <f>SUM(HS13:HS24)</f>
        <v>1262.9957142857145</v>
      </c>
      <c r="HR32" s="9" t="s">
        <v>2247</v>
      </c>
      <c r="HS32" s="9">
        <v>429</v>
      </c>
      <c r="HT32" s="1" t="s">
        <v>1674</v>
      </c>
      <c r="HU32" s="285">
        <v>4000</v>
      </c>
      <c r="HX32" s="9" t="s">
        <v>2247</v>
      </c>
      <c r="HY32" s="9">
        <v>434</v>
      </c>
      <c r="HZ32" s="1" t="s">
        <v>2054</v>
      </c>
      <c r="IA32" s="285">
        <v>3000</v>
      </c>
      <c r="ID32" s="351" t="s">
        <v>2467</v>
      </c>
      <c r="IE32">
        <f>40.3+11+11.4+19.2</f>
        <v>81.899999999999991</v>
      </c>
      <c r="IF32" s="261" t="s">
        <v>2477</v>
      </c>
      <c r="IG32" s="291">
        <v>146</v>
      </c>
      <c r="IH32" s="429"/>
      <c r="II32" s="614"/>
      <c r="IJ32" s="351" t="s">
        <v>2553</v>
      </c>
      <c r="IK32">
        <f>10.1+8+57.3+1.6</f>
        <v>77</v>
      </c>
      <c r="IL32" t="s">
        <v>514</v>
      </c>
      <c r="IN32" s="354" t="s">
        <v>2537</v>
      </c>
      <c r="IO32" s="367">
        <v>0</v>
      </c>
      <c r="IP32" s="445">
        <v>23.11</v>
      </c>
      <c r="IQ32" s="9"/>
      <c r="IR32" s="639" t="s">
        <v>2571</v>
      </c>
      <c r="IS32" s="637">
        <v>1.49</v>
      </c>
      <c r="IT32" s="108"/>
    </row>
    <row r="33" spans="1:252" x14ac:dyDescent="0.2">
      <c r="A33" s="697" t="s">
        <v>1013</v>
      </c>
      <c r="B33" s="697"/>
      <c r="C33" s="3"/>
      <c r="D33" s="3"/>
      <c r="E33" s="254"/>
      <c r="F33" s="254"/>
      <c r="G33" s="697" t="s">
        <v>1013</v>
      </c>
      <c r="H33" s="697"/>
      <c r="K33" s="249" t="s">
        <v>1033</v>
      </c>
      <c r="L33" s="249"/>
      <c r="M33" s="700" t="s">
        <v>1050</v>
      </c>
      <c r="N33" s="700"/>
      <c r="Q33" s="146" t="s">
        <v>1028</v>
      </c>
      <c r="R33" s="145">
        <v>77.239999999999995</v>
      </c>
      <c r="S33" s="700" t="s">
        <v>1050</v>
      </c>
      <c r="T33" s="700"/>
      <c r="Y33" s="694" t="s">
        <v>243</v>
      </c>
      <c r="Z33" s="694"/>
      <c r="AC33" s="202" t="s">
        <v>1024</v>
      </c>
      <c r="AD33" s="145">
        <v>350</v>
      </c>
      <c r="AE33" s="700" t="s">
        <v>1050</v>
      </c>
      <c r="AF33" s="700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05" t="s">
        <v>1446</v>
      </c>
      <c r="DB33" s="706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2020</v>
      </c>
      <c r="GK33" s="6">
        <v>35.1</v>
      </c>
      <c r="GN33" s="351" t="s">
        <v>2069</v>
      </c>
      <c r="GO33">
        <v>20</v>
      </c>
      <c r="GP33" s="261" t="s">
        <v>2073</v>
      </c>
      <c r="GQ33" s="291">
        <v>81</v>
      </c>
      <c r="GT33" s="406" t="s">
        <v>1782</v>
      </c>
      <c r="GU33" s="63"/>
      <c r="GV33" t="s">
        <v>514</v>
      </c>
      <c r="GZ33" s="351" t="s">
        <v>2161</v>
      </c>
      <c r="HA33">
        <f>12.35+5.8</f>
        <v>18.149999999999999</v>
      </c>
      <c r="HB33" s="261" t="s">
        <v>2145</v>
      </c>
      <c r="HC33" s="296">
        <v>12.9</v>
      </c>
      <c r="HF33" s="421">
        <v>35</v>
      </c>
      <c r="HG33" s="425" t="s">
        <v>2166</v>
      </c>
      <c r="HH33" s="428" t="s">
        <v>2211</v>
      </c>
      <c r="HI33" s="430">
        <v>6.1</v>
      </c>
      <c r="HL33" s="442">
        <v>17</v>
      </c>
      <c r="HM33" s="354" t="s">
        <v>2242</v>
      </c>
      <c r="HP33" s="359" t="s">
        <v>2314</v>
      </c>
      <c r="HQ33" s="444"/>
      <c r="HR33" s="445">
        <v>28.54</v>
      </c>
      <c r="HS33" s="9" t="s">
        <v>2246</v>
      </c>
      <c r="HT33" s="262"/>
      <c r="HU33" s="291"/>
      <c r="HX33" s="445">
        <v>34.909999999999997</v>
      </c>
      <c r="HY33" s="9"/>
      <c r="HZ33" s="1" t="s">
        <v>2213</v>
      </c>
      <c r="IA33" s="285">
        <v>4000</v>
      </c>
      <c r="IB33" s="354" t="s">
        <v>2431</v>
      </c>
      <c r="IC33" s="367">
        <v>205</v>
      </c>
      <c r="ID33" s="351" t="s">
        <v>2440</v>
      </c>
      <c r="IE33">
        <v>30.01</v>
      </c>
      <c r="IH33" s="429"/>
      <c r="II33" s="614"/>
      <c r="IJ33" s="351" t="s">
        <v>2509</v>
      </c>
      <c r="IK33">
        <v>27.9</v>
      </c>
      <c r="IL33" t="s">
        <v>93</v>
      </c>
      <c r="IP33" s="406" t="s">
        <v>1446</v>
      </c>
      <c r="IQ33" s="441">
        <f>IM23+IO32-IS23</f>
        <v>0</v>
      </c>
    </row>
    <row r="34" spans="1:252" x14ac:dyDescent="0.2">
      <c r="A34" s="694" t="s">
        <v>243</v>
      </c>
      <c r="B34" s="694"/>
      <c r="E34" s="173"/>
      <c r="F34" s="173"/>
      <c r="G34" s="694" t="s">
        <v>243</v>
      </c>
      <c r="H34" s="694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00" t="s">
        <v>1050</v>
      </c>
      <c r="Z34" s="700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2040</v>
      </c>
      <c r="GI34" s="355"/>
      <c r="GJ34" s="261" t="s">
        <v>1886</v>
      </c>
      <c r="GK34" s="291">
        <v>20</v>
      </c>
      <c r="GN34" s="351" t="s">
        <v>2059</v>
      </c>
      <c r="GO34">
        <v>23.9</v>
      </c>
      <c r="GP34" s="261" t="s">
        <v>2095</v>
      </c>
      <c r="GQ34" s="291">
        <v>298</v>
      </c>
      <c r="GT34" s="367">
        <v>280</v>
      </c>
      <c r="GU34" s="406"/>
      <c r="GV34" t="s">
        <v>1709</v>
      </c>
      <c r="GZ34" s="351" t="s">
        <v>2136</v>
      </c>
      <c r="HA34">
        <v>31.78</v>
      </c>
      <c r="HB34" s="261" t="s">
        <v>2145</v>
      </c>
      <c r="HC34" s="296">
        <v>22.5</v>
      </c>
      <c r="HF34" s="421">
        <v>40</v>
      </c>
      <c r="HG34" s="354" t="s">
        <v>2164</v>
      </c>
      <c r="HL34" s="442">
        <v>6</v>
      </c>
      <c r="HM34" s="354" t="s">
        <v>2221</v>
      </c>
      <c r="HP34" s="351" t="s">
        <v>2206</v>
      </c>
      <c r="HQ34">
        <f>SUM(HS25:HS30)</f>
        <v>160.6</v>
      </c>
      <c r="HR34" s="406" t="s">
        <v>2264</v>
      </c>
      <c r="HS34" s="441">
        <f>HO18+HQ37-HU24</f>
        <v>100</v>
      </c>
      <c r="HT34" s="426"/>
      <c r="HU34" s="291"/>
      <c r="HX34" s="406" t="s">
        <v>1446</v>
      </c>
      <c r="HY34" s="441">
        <f>HU24+HW35-IA28</f>
        <v>320</v>
      </c>
      <c r="HZ34" s="1" t="s">
        <v>2056</v>
      </c>
      <c r="IA34" s="285">
        <v>25000</v>
      </c>
      <c r="ID34" s="351" t="s">
        <v>2450</v>
      </c>
      <c r="IE34">
        <v>40.840000000000003</v>
      </c>
      <c r="IF34" t="s">
        <v>514</v>
      </c>
      <c r="IH34" s="429"/>
      <c r="II34" s="614"/>
      <c r="IJ34" s="351" t="s">
        <v>2543</v>
      </c>
      <c r="IK34">
        <v>84.86</v>
      </c>
      <c r="IL34" t="s">
        <v>2484</v>
      </c>
      <c r="IP34" s="442"/>
      <c r="IQ34" s="354"/>
      <c r="IR34" t="s">
        <v>514</v>
      </c>
    </row>
    <row r="35" spans="1:252" ht="14.25" customHeight="1" x14ac:dyDescent="0.25">
      <c r="A35" s="701" t="s">
        <v>348</v>
      </c>
      <c r="B35" s="701"/>
      <c r="E35" s="190" t="s">
        <v>374</v>
      </c>
      <c r="F35" s="173"/>
      <c r="G35" s="701" t="s">
        <v>348</v>
      </c>
      <c r="H35" s="701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2032</v>
      </c>
      <c r="GI35" s="355"/>
      <c r="GJ35" s="261" t="s">
        <v>2046</v>
      </c>
      <c r="GK35" s="291">
        <v>20</v>
      </c>
      <c r="GN35" s="351" t="s">
        <v>2061</v>
      </c>
      <c r="GO35">
        <v>95</v>
      </c>
      <c r="GT35" s="355" t="s">
        <v>2116</v>
      </c>
      <c r="GU35" s="368">
        <f>GQ17+GT34-GW16</f>
        <v>262</v>
      </c>
      <c r="GV35" t="s">
        <v>93</v>
      </c>
      <c r="GZ35" s="351" t="s">
        <v>2138</v>
      </c>
      <c r="HA35">
        <v>64.86</v>
      </c>
      <c r="HB35" s="261" t="s">
        <v>2158</v>
      </c>
      <c r="HC35" s="296">
        <v>233.71</v>
      </c>
      <c r="HF35" s="421">
        <v>40</v>
      </c>
      <c r="HG35" s="354" t="s">
        <v>2189</v>
      </c>
      <c r="HH35" t="s">
        <v>514</v>
      </c>
      <c r="HL35" s="426" t="s">
        <v>2198</v>
      </c>
      <c r="HM35" s="358">
        <v>24.7</v>
      </c>
      <c r="HR35" s="442">
        <v>4</v>
      </c>
      <c r="HS35" s="354" t="s">
        <v>2316</v>
      </c>
      <c r="HT35" s="426"/>
      <c r="HU35" s="291"/>
      <c r="HV35" s="354" t="s">
        <v>2363</v>
      </c>
      <c r="HW35" s="367">
        <v>220</v>
      </c>
      <c r="HX35" s="442">
        <v>140</v>
      </c>
      <c r="HY35" s="354" t="s">
        <v>2392</v>
      </c>
      <c r="HZ35" s="1" t="s">
        <v>1673</v>
      </c>
      <c r="IA35" s="285">
        <v>2000</v>
      </c>
      <c r="ID35" s="351" t="s">
        <v>2461</v>
      </c>
      <c r="IE35">
        <v>47.96</v>
      </c>
      <c r="IF35" t="s">
        <v>93</v>
      </c>
      <c r="IH35" s="429"/>
      <c r="II35" s="614"/>
      <c r="IJ35" s="351" t="s">
        <v>2545</v>
      </c>
      <c r="IK35">
        <v>56.9</v>
      </c>
      <c r="IL35" t="s">
        <v>1709</v>
      </c>
      <c r="IO35" s="582"/>
      <c r="IP35" s="442"/>
      <c r="IQ35" s="354"/>
      <c r="IR35" t="s">
        <v>93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2057</v>
      </c>
      <c r="GI36" s="355"/>
      <c r="GJ36" s="261" t="s">
        <v>2046</v>
      </c>
      <c r="GK36" s="6">
        <v>63.6</v>
      </c>
      <c r="GN36" s="351" t="s">
        <v>2063</v>
      </c>
      <c r="GO36">
        <v>63.06</v>
      </c>
      <c r="GP36" t="s">
        <v>2375</v>
      </c>
      <c r="GT36" s="420">
        <v>71.8</v>
      </c>
      <c r="GU36" s="354" t="s">
        <v>2133</v>
      </c>
      <c r="GV36" t="s">
        <v>1170</v>
      </c>
      <c r="GZ36" s="351" t="s">
        <v>2146</v>
      </c>
      <c r="HA36">
        <v>32.6</v>
      </c>
      <c r="HB36" s="261" t="s">
        <v>2144</v>
      </c>
      <c r="HC36" s="296">
        <v>71</v>
      </c>
      <c r="HF36" s="421">
        <v>50</v>
      </c>
      <c r="HG36" s="354" t="s">
        <v>1863</v>
      </c>
      <c r="HH36" t="s">
        <v>1709</v>
      </c>
      <c r="HL36" s="426" t="s">
        <v>2239</v>
      </c>
      <c r="HM36" s="443">
        <v>20760</v>
      </c>
      <c r="HQ36" s="212"/>
      <c r="HR36" s="442">
        <v>40</v>
      </c>
      <c r="HS36" s="354" t="s">
        <v>2164</v>
      </c>
      <c r="HT36" s="428"/>
      <c r="HU36" s="291"/>
      <c r="HX36" s="442">
        <v>40</v>
      </c>
      <c r="HY36" s="354" t="s">
        <v>1863</v>
      </c>
      <c r="HZ36" s="1" t="s">
        <v>1674</v>
      </c>
      <c r="IA36" s="285">
        <v>4000</v>
      </c>
      <c r="IC36" s="582"/>
      <c r="ID36" t="s">
        <v>2248</v>
      </c>
      <c r="IE36" s="6">
        <v>52</v>
      </c>
      <c r="IH36" s="429"/>
      <c r="II36" s="614"/>
      <c r="IJ36" s="351" t="s">
        <v>2544</v>
      </c>
      <c r="IK36">
        <v>47.08</v>
      </c>
      <c r="IL36" t="s">
        <v>1050</v>
      </c>
      <c r="IO36" s="582"/>
      <c r="IP36" s="442"/>
      <c r="IQ36" s="354"/>
      <c r="IR36" t="s">
        <v>2484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07" t="s">
        <v>1571</v>
      </c>
      <c r="DT37" s="708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2373</v>
      </c>
      <c r="GQ37" s="291"/>
      <c r="GT37" s="421">
        <v>80</v>
      </c>
      <c r="GU37" s="354" t="s">
        <v>1863</v>
      </c>
      <c r="GV37" t="s">
        <v>1050</v>
      </c>
      <c r="GZ37" s="351" t="s">
        <v>2157</v>
      </c>
      <c r="HA37">
        <v>40.479999999999997</v>
      </c>
      <c r="HF37" s="426" t="s">
        <v>2181</v>
      </c>
      <c r="HG37" s="356">
        <v>3000</v>
      </c>
      <c r="HH37" t="s">
        <v>93</v>
      </c>
      <c r="HL37" s="426"/>
      <c r="HM37" s="358"/>
      <c r="HP37" s="354" t="s">
        <v>2288</v>
      </c>
      <c r="HQ37" s="367">
        <v>100</v>
      </c>
      <c r="HR37" s="442">
        <v>20</v>
      </c>
      <c r="HS37" s="354" t="s">
        <v>2276</v>
      </c>
      <c r="HT37" s="428"/>
      <c r="HU37" s="291"/>
      <c r="HX37" s="442">
        <v>40</v>
      </c>
      <c r="HY37" s="354" t="s">
        <v>2391</v>
      </c>
      <c r="HZ37" s="261" t="s">
        <v>2317</v>
      </c>
      <c r="IA37" s="291"/>
      <c r="IC37" s="582"/>
      <c r="ID37" s="9" t="s">
        <v>2247</v>
      </c>
      <c r="IE37" s="9">
        <v>453</v>
      </c>
      <c r="IH37" s="429"/>
      <c r="II37" s="614"/>
      <c r="IJ37" t="s">
        <v>2248</v>
      </c>
      <c r="IK37" s="6">
        <f>35+25+17.47+26.01</f>
        <v>103.48</v>
      </c>
      <c r="IO37" s="583"/>
      <c r="IP37" s="442"/>
      <c r="IQ37" s="354"/>
      <c r="IR37" t="s">
        <v>1709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2050</v>
      </c>
      <c r="GI38" s="6">
        <v>100</v>
      </c>
      <c r="GJ38" s="261"/>
      <c r="GK38" s="291"/>
      <c r="GN38" s="351" t="s">
        <v>2064</v>
      </c>
      <c r="GO38">
        <v>12.84</v>
      </c>
      <c r="GP38" s="261" t="s">
        <v>2227</v>
      </c>
      <c r="GQ38">
        <f>GU16</f>
        <v>84250</v>
      </c>
      <c r="GT38" s="421">
        <v>5</v>
      </c>
      <c r="GU38" s="354" t="s">
        <v>2129</v>
      </c>
      <c r="GZ38" s="351" t="s">
        <v>1438</v>
      </c>
      <c r="HA38">
        <v>49.98</v>
      </c>
      <c r="HB38" t="s">
        <v>514</v>
      </c>
      <c r="HF38" s="426" t="s">
        <v>2173</v>
      </c>
      <c r="HG38" s="356">
        <v>17367.45</v>
      </c>
      <c r="HH38" t="s">
        <v>1170</v>
      </c>
      <c r="HR38" s="442">
        <v>20</v>
      </c>
      <c r="HS38" s="354" t="s">
        <v>2277</v>
      </c>
      <c r="HT38" t="s">
        <v>514</v>
      </c>
      <c r="HX38" s="442">
        <v>40</v>
      </c>
      <c r="HY38" s="354" t="s">
        <v>2360</v>
      </c>
      <c r="HZ38" s="428" t="s">
        <v>2318</v>
      </c>
      <c r="IA38" s="507">
        <v>21.35</v>
      </c>
      <c r="IC38" s="583"/>
      <c r="ID38" s="445">
        <v>28.33</v>
      </c>
      <c r="IE38" s="9"/>
      <c r="IH38" s="430"/>
      <c r="IJ38" s="9" t="s">
        <v>2247</v>
      </c>
      <c r="IK38" s="9">
        <v>810</v>
      </c>
      <c r="IP38" s="442"/>
      <c r="IQ38" s="354"/>
      <c r="IR38" t="s">
        <v>1050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2004</v>
      </c>
      <c r="GC39" s="355"/>
      <c r="GH39" s="374" t="s">
        <v>2031</v>
      </c>
      <c r="GI39">
        <v>70</v>
      </c>
      <c r="GJ39" t="s">
        <v>514</v>
      </c>
      <c r="GN39" s="351" t="s">
        <v>2081</v>
      </c>
      <c r="GO39">
        <v>26</v>
      </c>
      <c r="GP39" s="261" t="s">
        <v>2228</v>
      </c>
      <c r="GQ39" s="291">
        <v>45000</v>
      </c>
      <c r="GT39" s="421">
        <v>20</v>
      </c>
      <c r="GU39" s="354" t="s">
        <v>2132</v>
      </c>
      <c r="GZ39" s="351" t="s">
        <v>2155</v>
      </c>
      <c r="HA39">
        <f>36.3+3.2+61.6</f>
        <v>101.1</v>
      </c>
      <c r="HB39" t="s">
        <v>1709</v>
      </c>
      <c r="HF39" s="426" t="s">
        <v>2187</v>
      </c>
      <c r="HG39" s="358">
        <v>88</v>
      </c>
      <c r="HH39" t="s">
        <v>1050</v>
      </c>
      <c r="HL39" s="426"/>
      <c r="HM39" s="358"/>
      <c r="HR39" s="426" t="s">
        <v>2285</v>
      </c>
      <c r="HS39" s="443">
        <v>9.9</v>
      </c>
      <c r="HT39" t="s">
        <v>93</v>
      </c>
      <c r="HX39" s="442">
        <v>20</v>
      </c>
      <c r="HY39" s="354" t="s">
        <v>2387</v>
      </c>
      <c r="HZ39" s="261" t="s">
        <v>2362</v>
      </c>
      <c r="IA39" s="291">
        <v>125.91</v>
      </c>
      <c r="ID39" s="406" t="s">
        <v>1446</v>
      </c>
      <c r="IE39" s="441">
        <f>IA28+IC33-IG23</f>
        <v>175</v>
      </c>
      <c r="IH39" s="430"/>
      <c r="IJ39" s="445">
        <v>37.31</v>
      </c>
      <c r="IK39" s="9"/>
      <c r="IP39" s="442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02" t="s">
        <v>1473</v>
      </c>
      <c r="DJ40" s="702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2005</v>
      </c>
      <c r="GC40" s="355"/>
      <c r="GH40" s="374" t="s">
        <v>2051</v>
      </c>
      <c r="GI40" s="6">
        <v>190</v>
      </c>
      <c r="GJ40" t="s">
        <v>1709</v>
      </c>
      <c r="GN40" s="351" t="s">
        <v>2074</v>
      </c>
      <c r="GO40">
        <v>12</v>
      </c>
      <c r="GP40" s="261" t="s">
        <v>1870</v>
      </c>
      <c r="GQ40" s="291">
        <v>1000</v>
      </c>
      <c r="GT40" s="421">
        <v>6</v>
      </c>
      <c r="GU40" s="354" t="s">
        <v>2130</v>
      </c>
      <c r="GV40" t="s">
        <v>486</v>
      </c>
      <c r="GZ40" s="351" t="s">
        <v>2222</v>
      </c>
      <c r="HA40">
        <v>84.3</v>
      </c>
      <c r="HB40" t="s">
        <v>93</v>
      </c>
      <c r="HF40" s="426" t="s">
        <v>2174</v>
      </c>
      <c r="HG40" s="358">
        <v>9.2200000000000006</v>
      </c>
      <c r="HR40" s="426" t="s">
        <v>2308</v>
      </c>
      <c r="HS40" s="358">
        <v>10.57</v>
      </c>
      <c r="HX40" s="442">
        <v>45</v>
      </c>
      <c r="HY40" s="354" t="s">
        <v>2386</v>
      </c>
      <c r="ID40" s="442">
        <v>70</v>
      </c>
      <c r="IE40" s="354" t="s">
        <v>2277</v>
      </c>
      <c r="IH40" s="656" t="s">
        <v>2212</v>
      </c>
      <c r="II40" s="656"/>
      <c r="IJ40" s="406" t="s">
        <v>1446</v>
      </c>
      <c r="IK40" s="441">
        <f>IG23+II48-IM23</f>
        <v>230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2030</v>
      </c>
      <c r="GI41" s="6">
        <v>1100</v>
      </c>
      <c r="GJ41" t="s">
        <v>93</v>
      </c>
      <c r="GN41" s="351" t="s">
        <v>2072</v>
      </c>
      <c r="GO41">
        <f>76+25.2</f>
        <v>101.2</v>
      </c>
      <c r="GP41" s="261" t="s">
        <v>2374</v>
      </c>
      <c r="GQ41" s="291"/>
      <c r="GT41" s="421">
        <v>6</v>
      </c>
      <c r="GU41" s="354" t="s">
        <v>2149</v>
      </c>
      <c r="GV41" s="301"/>
      <c r="GZ41" s="406" t="s">
        <v>1782</v>
      </c>
      <c r="HA41" s="63"/>
      <c r="HB41" t="s">
        <v>1170</v>
      </c>
      <c r="HF41" s="215" t="s">
        <v>2204</v>
      </c>
      <c r="HG41" s="215">
        <v>440</v>
      </c>
      <c r="HR41" s="426" t="s">
        <v>2355</v>
      </c>
      <c r="HS41" s="358">
        <v>65.7</v>
      </c>
      <c r="HX41" s="426" t="s">
        <v>2358</v>
      </c>
      <c r="HY41" s="358">
        <v>98.89</v>
      </c>
      <c r="ID41" s="442">
        <v>15</v>
      </c>
      <c r="IE41" s="354" t="s">
        <v>2405</v>
      </c>
      <c r="IH41" s="365" t="s">
        <v>1994</v>
      </c>
      <c r="II41" s="299">
        <f>SUM(IK7:IK9)</f>
        <v>1946.12</v>
      </c>
      <c r="IJ41" s="442">
        <v>20</v>
      </c>
      <c r="IK41" s="354" t="s">
        <v>2510</v>
      </c>
      <c r="IP41" s="608" t="s">
        <v>2570</v>
      </c>
      <c r="IQ41" s="619">
        <f>757-3.8</f>
        <v>753.2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2028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21">
        <v>30</v>
      </c>
      <c r="GU42" s="354" t="s">
        <v>2131</v>
      </c>
      <c r="GZ42" s="367">
        <v>50</v>
      </c>
      <c r="HA42" s="406"/>
      <c r="HB42" t="s">
        <v>1050</v>
      </c>
      <c r="HE42" s="212"/>
      <c r="HF42" s="432">
        <v>29.54</v>
      </c>
      <c r="HR42" s="426" t="s">
        <v>2265</v>
      </c>
      <c r="HS42" s="358">
        <v>2.54</v>
      </c>
      <c r="HX42" s="711" t="s">
        <v>2365</v>
      </c>
      <c r="HY42" s="711"/>
      <c r="HZ42" t="s">
        <v>514</v>
      </c>
      <c r="ID42" s="442">
        <v>10</v>
      </c>
      <c r="IE42" s="354" t="s">
        <v>2451</v>
      </c>
      <c r="IH42" s="253" t="s">
        <v>1995</v>
      </c>
      <c r="II42" s="299">
        <f>SUM(IK14:IK15)</f>
        <v>2392.1833333333334</v>
      </c>
      <c r="IJ42" s="442">
        <v>40</v>
      </c>
      <c r="IK42" s="354" t="s">
        <v>2485</v>
      </c>
      <c r="IP42" s="608" t="s">
        <v>2569</v>
      </c>
      <c r="IQ42" s="619">
        <v>92.8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2042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2108</v>
      </c>
      <c r="GU43" s="6">
        <v>70</v>
      </c>
      <c r="GZ43" s="355" t="s">
        <v>2143</v>
      </c>
      <c r="HA43" s="368">
        <f>GW16+GZ42-HC17</f>
        <v>134</v>
      </c>
      <c r="HF43" t="s">
        <v>2127</v>
      </c>
      <c r="HG43" s="6">
        <v>90</v>
      </c>
      <c r="HX43" s="145" t="s">
        <v>2354</v>
      </c>
      <c r="HY43" s="145">
        <v>7329.5</v>
      </c>
      <c r="HZ43" t="s">
        <v>93</v>
      </c>
      <c r="ID43" s="442">
        <f>20+9</f>
        <v>29</v>
      </c>
      <c r="IE43" s="354" t="s">
        <v>2468</v>
      </c>
      <c r="IH43" s="376" t="s">
        <v>1426</v>
      </c>
      <c r="II43">
        <f>SUM(IK10:IK11)</f>
        <v>3467.75</v>
      </c>
      <c r="IJ43" s="442">
        <v>10</v>
      </c>
      <c r="IK43" s="354" t="s">
        <v>2508</v>
      </c>
      <c r="IP43" s="608" t="s">
        <v>2581</v>
      </c>
      <c r="IQ43" s="619">
        <f>220.8+7.27</f>
        <v>228.07000000000002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2013</v>
      </c>
      <c r="GC44" s="6">
        <v>20</v>
      </c>
      <c r="GN44" s="355" t="s">
        <v>2088</v>
      </c>
      <c r="GO44" s="368">
        <f>GK17+GN43-GQ17</f>
        <v>104</v>
      </c>
      <c r="GP44" t="s">
        <v>1170</v>
      </c>
      <c r="GT44" s="374" t="s">
        <v>2126</v>
      </c>
      <c r="GU44" s="6">
        <v>29.6</v>
      </c>
      <c r="GZ44" s="420">
        <v>60</v>
      </c>
      <c r="HA44" s="354" t="s">
        <v>1863</v>
      </c>
      <c r="HX44" t="s">
        <v>2400</v>
      </c>
      <c r="HY44">
        <f>40+150</f>
        <v>190</v>
      </c>
      <c r="ID44" s="261" t="s">
        <v>2479</v>
      </c>
      <c r="IE44" s="358">
        <v>23</v>
      </c>
      <c r="IH44" s="360" t="s">
        <v>2207</v>
      </c>
      <c r="II44">
        <f>SUM(IK12:IK13)</f>
        <v>2138.0500000000002</v>
      </c>
      <c r="IJ44" s="442">
        <v>20</v>
      </c>
      <c r="IK44" s="354" t="s">
        <v>2535</v>
      </c>
      <c r="IP44" s="608"/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2007</v>
      </c>
      <c r="GC45" s="6">
        <v>30.35</v>
      </c>
      <c r="GH45" t="s">
        <v>1606</v>
      </c>
      <c r="GI45" s="1">
        <v>638</v>
      </c>
      <c r="GN45" s="354" t="s">
        <v>2065</v>
      </c>
      <c r="GO45" s="355"/>
      <c r="GP45" t="s">
        <v>1050</v>
      </c>
      <c r="GT45" s="374" t="s">
        <v>2105</v>
      </c>
      <c r="GU45" s="6">
        <v>32.1</v>
      </c>
      <c r="GZ45" s="421">
        <v>20</v>
      </c>
      <c r="HA45" s="354" t="s">
        <v>2189</v>
      </c>
      <c r="HX45" s="426" t="s">
        <v>2367</v>
      </c>
      <c r="HY45" s="358">
        <v>150</v>
      </c>
      <c r="ID45" s="428" t="s">
        <v>2434</v>
      </c>
      <c r="IE45">
        <v>54.8</v>
      </c>
      <c r="IH45" s="359" t="s">
        <v>2208</v>
      </c>
      <c r="II45" s="444">
        <f>SUM(IK16:IK23)</f>
        <v>793.80666666666662</v>
      </c>
      <c r="IJ45" s="442">
        <v>5</v>
      </c>
      <c r="IK45" s="354" t="s">
        <v>2512</v>
      </c>
      <c r="IP45" s="608"/>
      <c r="IQ45" s="630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2052</v>
      </c>
      <c r="GI46" s="6"/>
      <c r="GJ46" t="s">
        <v>486</v>
      </c>
      <c r="GN46" s="354" t="s">
        <v>2086</v>
      </c>
      <c r="GO46" s="355"/>
      <c r="GT46" s="374" t="s">
        <v>1527</v>
      </c>
      <c r="GU46">
        <v>2.66</v>
      </c>
      <c r="GZ46" s="421">
        <v>30</v>
      </c>
      <c r="HA46" s="354" t="s">
        <v>2148</v>
      </c>
      <c r="HB46" s="301"/>
      <c r="HX46" s="428" t="s">
        <v>2396</v>
      </c>
      <c r="HY46">
        <f>389.7+107.1</f>
        <v>496.79999999999995</v>
      </c>
      <c r="ID46" s="428" t="s">
        <v>1691</v>
      </c>
      <c r="IE46">
        <v>54.6</v>
      </c>
      <c r="IH46" s="351" t="s">
        <v>2206</v>
      </c>
      <c r="II46">
        <f>SUM(IK24:IK36)</f>
        <v>602.14</v>
      </c>
      <c r="IJ46" s="442">
        <v>7</v>
      </c>
      <c r="IK46" s="354" t="s">
        <v>2530</v>
      </c>
      <c r="IP46" s="608"/>
      <c r="IQ46" s="619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2135</v>
      </c>
      <c r="GO47" s="355"/>
      <c r="GT47" s="374" t="s">
        <v>2097</v>
      </c>
      <c r="GU47" s="6">
        <v>60.6</v>
      </c>
      <c r="GV47" s="712" t="s">
        <v>2134</v>
      </c>
      <c r="GZ47" s="374" t="s">
        <v>2152</v>
      </c>
      <c r="HA47" s="6">
        <v>6</v>
      </c>
      <c r="HX47" s="426" t="s">
        <v>2366</v>
      </c>
      <c r="HY47" s="443">
        <v>14.4</v>
      </c>
      <c r="ID47" s="428" t="s">
        <v>2456</v>
      </c>
      <c r="IE47">
        <v>195.81</v>
      </c>
      <c r="IJ47" s="367">
        <f>-IK7</f>
        <v>-15</v>
      </c>
      <c r="IK47" s="354" t="s">
        <v>2513</v>
      </c>
      <c r="IP47" s="567"/>
      <c r="IQ47" s="567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2012</v>
      </c>
      <c r="GC48" s="6"/>
      <c r="GN48" s="354" t="s">
        <v>2085</v>
      </c>
      <c r="GO48" s="355"/>
      <c r="GP48" t="s">
        <v>486</v>
      </c>
      <c r="GT48" s="374" t="s">
        <v>2104</v>
      </c>
      <c r="GU48" s="6">
        <v>14.9</v>
      </c>
      <c r="GV48" s="712"/>
      <c r="GZ48" t="s">
        <v>2128</v>
      </c>
      <c r="HA48" s="215">
        <v>670.00099999999998</v>
      </c>
      <c r="HX48" s="428" t="s">
        <v>2398</v>
      </c>
      <c r="HY48">
        <v>17.88</v>
      </c>
      <c r="ID48" s="428" t="s">
        <v>2464</v>
      </c>
      <c r="IE48">
        <v>50</v>
      </c>
      <c r="IH48" s="354" t="s">
        <v>2537</v>
      </c>
      <c r="II48" s="367">
        <v>300</v>
      </c>
      <c r="IJ48" s="367">
        <v>20</v>
      </c>
      <c r="IK48" s="354" t="s">
        <v>1863</v>
      </c>
      <c r="IP48" s="428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2070</v>
      </c>
      <c r="GO49" s="6">
        <f>360+18</f>
        <v>378</v>
      </c>
      <c r="GP49" s="301" t="s">
        <v>1340</v>
      </c>
      <c r="GT49" s="374" t="s">
        <v>2123</v>
      </c>
      <c r="GU49" s="6">
        <v>55.29</v>
      </c>
      <c r="GV49" s="712"/>
      <c r="GZ49" s="215" t="s">
        <v>2159</v>
      </c>
      <c r="HX49" s="428" t="s">
        <v>2399</v>
      </c>
      <c r="HY49">
        <v>23.86</v>
      </c>
      <c r="ID49" s="428" t="s">
        <v>2466</v>
      </c>
      <c r="IE49">
        <v>26.8</v>
      </c>
      <c r="IJ49" s="367">
        <v>20</v>
      </c>
      <c r="IK49" s="354" t="s">
        <v>2532</v>
      </c>
      <c r="IP49" s="428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2077</v>
      </c>
      <c r="GO50">
        <v>38.9</v>
      </c>
      <c r="GU50" s="6"/>
      <c r="GV50" s="712"/>
      <c r="GZ50" t="s">
        <v>2127</v>
      </c>
      <c r="HA50" s="6">
        <v>50.000999999999998</v>
      </c>
      <c r="HF50" s="1"/>
      <c r="HX50" s="428" t="s">
        <v>2397</v>
      </c>
      <c r="HY50">
        <v>19.89</v>
      </c>
      <c r="ID50" s="567" t="s">
        <v>2407</v>
      </c>
      <c r="IE50" s="567"/>
      <c r="IJ50" s="442">
        <v>10</v>
      </c>
      <c r="IK50" s="63" t="s">
        <v>2506</v>
      </c>
      <c r="IP50" s="428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2080</v>
      </c>
      <c r="GO51" s="6">
        <v>33</v>
      </c>
      <c r="GT51" t="s">
        <v>2128</v>
      </c>
      <c r="GU51" s="422">
        <v>900</v>
      </c>
      <c r="HB51" s="1"/>
      <c r="HC51" s="1"/>
      <c r="HD51" s="1"/>
      <c r="HE51" s="1"/>
      <c r="HF51" s="1"/>
      <c r="HX51" s="428" t="s">
        <v>2384</v>
      </c>
      <c r="HY51">
        <f>30.9+469.82+100.14+34.91</f>
        <v>635.77</v>
      </c>
      <c r="ID51" s="145" t="s">
        <v>2406</v>
      </c>
      <c r="IE51" s="145">
        <f>30+139.5</f>
        <v>169.5</v>
      </c>
      <c r="II51" s="582"/>
      <c r="IJ51" s="608" t="s">
        <v>2502</v>
      </c>
      <c r="IK51" s="619">
        <f>161+14</f>
        <v>175</v>
      </c>
      <c r="IP51" s="428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22" t="s">
        <v>2125</v>
      </c>
      <c r="HB52" s="1"/>
      <c r="HC52" s="1"/>
      <c r="HD52" s="434"/>
      <c r="HE52" s="1"/>
      <c r="HF52" s="1"/>
      <c r="HX52" s="428"/>
      <c r="ID52" t="s">
        <v>2476</v>
      </c>
      <c r="IE52">
        <f>2000+1311.79</f>
        <v>3311.79</v>
      </c>
      <c r="II52" s="582"/>
      <c r="IJ52" s="608" t="s">
        <v>2525</v>
      </c>
      <c r="IK52" s="619">
        <v>87.8</v>
      </c>
      <c r="IP52" s="567"/>
      <c r="IQ52" s="567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2127</v>
      </c>
      <c r="GU53" s="6">
        <v>44</v>
      </c>
      <c r="HB53" s="1"/>
      <c r="HC53" s="1"/>
      <c r="HD53" s="434"/>
      <c r="HE53" s="1"/>
      <c r="HF53" s="1"/>
      <c r="HX53" s="428"/>
      <c r="ID53" t="s">
        <v>2432</v>
      </c>
      <c r="IE53">
        <v>15.32</v>
      </c>
      <c r="II53" s="583"/>
      <c r="IJ53" s="608" t="s">
        <v>2536</v>
      </c>
      <c r="IK53" s="619">
        <f>40.6+11.5</f>
        <v>52.1</v>
      </c>
      <c r="IP53" s="145"/>
      <c r="IQ53" s="145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2087</v>
      </c>
      <c r="GO54" s="1"/>
      <c r="HB54" s="1"/>
      <c r="HC54" s="1"/>
      <c r="HD54" s="434"/>
      <c r="HE54" s="1"/>
      <c r="HF54" s="1"/>
      <c r="HX54" s="428"/>
      <c r="ID54" s="426" t="s">
        <v>2433</v>
      </c>
      <c r="IE54" s="358">
        <v>67.61</v>
      </c>
      <c r="IJ54" s="608" t="s">
        <v>2556</v>
      </c>
      <c r="IK54" s="619">
        <v>10.49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34"/>
      <c r="HE55" s="1"/>
      <c r="HF55" s="1"/>
      <c r="ID55" t="s">
        <v>2441</v>
      </c>
      <c r="IE55" s="581">
        <v>-25.98</v>
      </c>
      <c r="IJ55" s="608" t="s">
        <v>2384</v>
      </c>
      <c r="IK55" s="619">
        <v>135.09</v>
      </c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9"/>
      <c r="HB56" s="1"/>
      <c r="HC56" s="1"/>
      <c r="HD56" s="434"/>
      <c r="HE56" s="1"/>
      <c r="HF56" s="1"/>
      <c r="ID56" s="428" t="s">
        <v>2462</v>
      </c>
      <c r="IE56">
        <v>8.8000000000000007</v>
      </c>
      <c r="IJ56" s="567" t="s">
        <v>2533</v>
      </c>
      <c r="IK56" s="567"/>
      <c r="IP56" s="426"/>
      <c r="IQ56" s="358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34"/>
      <c r="HE57" s="1"/>
      <c r="HF57" s="1"/>
      <c r="ID57" s="428"/>
      <c r="IJ57" s="428" t="s">
        <v>2480</v>
      </c>
      <c r="IK57">
        <v>150</v>
      </c>
      <c r="IQ57" s="581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34"/>
      <c r="HE58" s="1"/>
      <c r="HF58" s="1"/>
      <c r="ID58" s="428"/>
      <c r="IJ58" s="428" t="s">
        <v>2462</v>
      </c>
      <c r="IK58">
        <v>5.4</v>
      </c>
      <c r="IP58" s="428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34"/>
      <c r="HE59" s="1"/>
      <c r="HF59" s="1"/>
      <c r="ID59" s="428"/>
      <c r="IJ59" s="428"/>
      <c r="IP59" s="42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8"/>
      <c r="IJ60" s="428"/>
      <c r="IP60" s="42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8"/>
      <c r="IJ61" s="567"/>
      <c r="IK61" s="567"/>
      <c r="IP61" s="428"/>
    </row>
    <row r="62" spans="41:251" x14ac:dyDescent="0.2">
      <c r="DE62" s="6"/>
      <c r="DG62" s="223" t="s">
        <v>1507</v>
      </c>
      <c r="DH62" s="316">
        <v>51.9</v>
      </c>
      <c r="IJ62" s="145"/>
      <c r="IK62" s="145"/>
      <c r="IP62" s="428"/>
    </row>
    <row r="63" spans="41:251" x14ac:dyDescent="0.2">
      <c r="DG63" s="223" t="s">
        <v>1188</v>
      </c>
      <c r="DH63" s="316">
        <v>1500</v>
      </c>
      <c r="IP63" s="428"/>
    </row>
    <row r="65" spans="205:253" x14ac:dyDescent="0.2">
      <c r="IJ65" s="426"/>
      <c r="IK65" s="358"/>
      <c r="IM65" s="418"/>
    </row>
    <row r="66" spans="205:253" x14ac:dyDescent="0.2">
      <c r="IK66" s="581"/>
    </row>
    <row r="67" spans="205:253" x14ac:dyDescent="0.2">
      <c r="HO67" s="418"/>
      <c r="IG67" s="418"/>
      <c r="IJ67" s="428"/>
      <c r="IS67" s="418"/>
    </row>
    <row r="68" spans="205:253" x14ac:dyDescent="0.2">
      <c r="IJ68" s="428"/>
    </row>
    <row r="69" spans="205:253" x14ac:dyDescent="0.2">
      <c r="IJ69" s="428"/>
    </row>
    <row r="70" spans="205:253" x14ac:dyDescent="0.2">
      <c r="IJ70" s="428"/>
    </row>
    <row r="71" spans="205:253" x14ac:dyDescent="0.2">
      <c r="IJ71" s="428"/>
    </row>
    <row r="72" spans="205:253" x14ac:dyDescent="0.2">
      <c r="HI72" s="418"/>
      <c r="IJ72" s="428"/>
    </row>
    <row r="74" spans="205:253" x14ac:dyDescent="0.2">
      <c r="GW74" s="418"/>
    </row>
    <row r="75" spans="205:253" x14ac:dyDescent="0.2">
      <c r="HU75" s="418"/>
    </row>
    <row r="76" spans="205:253" x14ac:dyDescent="0.2">
      <c r="HC76" s="418"/>
    </row>
    <row r="77" spans="205:253" x14ac:dyDescent="0.2">
      <c r="IA77" s="418"/>
    </row>
  </sheetData>
  <mergeCells count="239">
    <mergeCell ref="FV1:FW1"/>
    <mergeCell ref="IN24:IO24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6" sqref="C16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13" t="s">
        <v>1932</v>
      </c>
      <c r="D3" s="713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2093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38"/>
  <sheetViews>
    <sheetView zoomScale="96" zoomScaleNormal="100" workbookViewId="0">
      <selection activeCell="Q17" sqref="Q17"/>
    </sheetView>
  </sheetViews>
  <sheetFormatPr defaultRowHeight="15.75" x14ac:dyDescent="0.25"/>
  <cols>
    <col min="1" max="1" width="1.140625" style="378" customWidth="1"/>
    <col min="2" max="2" width="4.140625" style="461" customWidth="1"/>
    <col min="3" max="3" width="4.85546875" style="461" customWidth="1"/>
    <col min="4" max="4" width="4.5703125" style="378" bestFit="1" customWidth="1"/>
    <col min="5" max="5" width="7.85546875" style="378" bestFit="1" customWidth="1"/>
    <col min="6" max="6" width="4.7109375" style="461" bestFit="1" customWidth="1"/>
    <col min="7" max="7" width="5.5703125" style="461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61" bestFit="1" customWidth="1"/>
    <col min="15" max="15" width="6.140625" style="378" bestFit="1" customWidth="1"/>
    <col min="16" max="16" width="0.7109375" style="461" customWidth="1"/>
    <col min="17" max="17" width="11.5703125" style="461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16" t="s">
        <v>2121</v>
      </c>
      <c r="C2" s="716"/>
      <c r="D2" s="717" t="s">
        <v>1910</v>
      </c>
      <c r="E2" s="717"/>
      <c r="F2" s="536"/>
      <c r="G2" s="536"/>
      <c r="H2" s="395"/>
      <c r="I2" s="720" t="s">
        <v>2328</v>
      </c>
      <c r="J2" s="721"/>
      <c r="K2" s="721"/>
      <c r="L2" s="721"/>
      <c r="M2" s="721"/>
      <c r="N2" s="721"/>
      <c r="O2" s="722"/>
      <c r="P2" s="489"/>
      <c r="Q2" s="723" t="s">
        <v>2376</v>
      </c>
      <c r="R2" s="473"/>
    </row>
    <row r="3" spans="2:28" s="461" customFormat="1" ht="15.75" customHeight="1" x14ac:dyDescent="0.25">
      <c r="B3" s="468"/>
      <c r="C3" s="474"/>
      <c r="D3" s="462"/>
      <c r="E3" s="462"/>
      <c r="F3" s="728" t="s">
        <v>2371</v>
      </c>
      <c r="G3" s="729"/>
      <c r="H3" s="395"/>
      <c r="I3" s="472"/>
      <c r="J3" s="537"/>
      <c r="K3" s="725" t="s">
        <v>2529</v>
      </c>
      <c r="L3" s="726"/>
      <c r="M3" s="727"/>
      <c r="N3" s="542"/>
      <c r="O3" s="469"/>
      <c r="P3" s="534"/>
      <c r="Q3" s="724"/>
      <c r="R3" s="389"/>
    </row>
    <row r="4" spans="2:28" ht="31.5" x14ac:dyDescent="0.25">
      <c r="B4" s="461" t="s">
        <v>2120</v>
      </c>
      <c r="C4" s="461" t="s">
        <v>2119</v>
      </c>
      <c r="D4" s="387" t="s">
        <v>1909</v>
      </c>
      <c r="E4" s="623" t="s">
        <v>2518</v>
      </c>
      <c r="F4" s="624" t="s">
        <v>2519</v>
      </c>
      <c r="G4" s="625" t="s">
        <v>2520</v>
      </c>
      <c r="H4" s="396" t="s">
        <v>468</v>
      </c>
      <c r="I4" s="470" t="s">
        <v>1907</v>
      </c>
      <c r="J4" s="471" t="s">
        <v>2357</v>
      </c>
      <c r="K4" s="470"/>
      <c r="L4" s="471" t="s">
        <v>1908</v>
      </c>
      <c r="M4" s="470" t="s">
        <v>2262</v>
      </c>
      <c r="N4" s="470" t="s">
        <v>2343</v>
      </c>
      <c r="O4" s="392"/>
      <c r="P4" s="490"/>
      <c r="Q4" s="465"/>
      <c r="R4" s="388" t="s">
        <v>1906</v>
      </c>
    </row>
    <row r="5" spans="2:28" s="427" customFormat="1" ht="13.5" customHeight="1" x14ac:dyDescent="0.25">
      <c r="B5" s="508">
        <v>16</v>
      </c>
      <c r="C5" s="508">
        <v>16</v>
      </c>
      <c r="D5" s="515">
        <v>39</v>
      </c>
      <c r="E5" s="515">
        <v>132</v>
      </c>
      <c r="F5" s="515"/>
      <c r="G5" s="515"/>
      <c r="H5" s="516">
        <v>44593</v>
      </c>
      <c r="I5" s="518">
        <v>38</v>
      </c>
      <c r="J5" s="518">
        <v>0</v>
      </c>
      <c r="K5" s="518"/>
      <c r="L5" s="518">
        <v>0</v>
      </c>
      <c r="M5" s="518">
        <v>78</v>
      </c>
      <c r="N5" s="518" t="s">
        <v>2344</v>
      </c>
      <c r="O5" s="519">
        <v>186</v>
      </c>
      <c r="P5" s="519"/>
      <c r="Q5" s="515"/>
      <c r="R5" s="515"/>
      <c r="S5" s="508"/>
      <c r="T5" s="508"/>
      <c r="U5" s="508"/>
      <c r="V5" s="508"/>
      <c r="W5" s="508"/>
      <c r="X5" s="508"/>
      <c r="Y5" s="508"/>
    </row>
    <row r="6" spans="2:28" s="427" customFormat="1" ht="13.5" customHeight="1" x14ac:dyDescent="0.25">
      <c r="B6" s="508">
        <v>16</v>
      </c>
      <c r="C6" s="508">
        <v>16</v>
      </c>
      <c r="D6" s="515">
        <v>39</v>
      </c>
      <c r="E6" s="515">
        <v>121</v>
      </c>
      <c r="F6" s="515"/>
      <c r="G6" s="515"/>
      <c r="H6" s="516">
        <v>44621</v>
      </c>
      <c r="I6" s="518">
        <v>38</v>
      </c>
      <c r="J6" s="518">
        <v>0</v>
      </c>
      <c r="K6" s="518"/>
      <c r="L6" s="518">
        <v>0</v>
      </c>
      <c r="M6" s="520">
        <v>79</v>
      </c>
      <c r="N6" s="520" t="s">
        <v>2345</v>
      </c>
      <c r="O6" s="519">
        <v>206</v>
      </c>
      <c r="P6" s="519"/>
      <c r="Q6" s="515"/>
      <c r="R6" s="515"/>
      <c r="S6" s="521" t="s">
        <v>2118</v>
      </c>
      <c r="T6" s="508"/>
      <c r="U6" s="508">
        <v>20.010000000000002</v>
      </c>
      <c r="V6" s="508"/>
      <c r="W6" s="508"/>
      <c r="X6" s="508"/>
      <c r="Y6" s="508"/>
    </row>
    <row r="7" spans="2:28" s="427" customFormat="1" ht="13.5" customHeight="1" x14ac:dyDescent="0.25">
      <c r="B7" s="508">
        <v>16</v>
      </c>
      <c r="C7" s="508">
        <v>16</v>
      </c>
      <c r="D7" s="515">
        <v>39</v>
      </c>
      <c r="E7" s="515">
        <v>123</v>
      </c>
      <c r="F7" s="515"/>
      <c r="G7" s="515"/>
      <c r="H7" s="516">
        <v>44652</v>
      </c>
      <c r="I7" s="517">
        <v>38</v>
      </c>
      <c r="J7" s="518">
        <v>0</v>
      </c>
      <c r="K7" s="518"/>
      <c r="L7" s="518">
        <v>0</v>
      </c>
      <c r="M7" s="517"/>
      <c r="N7" s="517"/>
      <c r="O7" s="515">
        <v>215</v>
      </c>
      <c r="P7" s="515"/>
      <c r="Q7" s="515"/>
      <c r="R7" s="515"/>
      <c r="S7" s="522"/>
      <c r="T7" s="523"/>
      <c r="U7" s="508"/>
      <c r="V7" s="508"/>
      <c r="W7" s="508"/>
      <c r="X7" s="508"/>
      <c r="Y7" s="508"/>
    </row>
    <row r="8" spans="2:28" s="427" customFormat="1" ht="13.5" customHeight="1" x14ac:dyDescent="0.25">
      <c r="B8" s="508"/>
      <c r="C8" s="508"/>
      <c r="D8" s="524"/>
      <c r="E8" s="524"/>
      <c r="F8" s="524"/>
      <c r="G8" s="524"/>
      <c r="H8" s="525"/>
      <c r="I8" s="526"/>
      <c r="J8" s="518">
        <v>0</v>
      </c>
      <c r="K8" s="518"/>
      <c r="L8" s="518">
        <v>0</v>
      </c>
      <c r="M8" s="526"/>
      <c r="N8" s="526" t="s">
        <v>2331</v>
      </c>
      <c r="O8" s="524"/>
      <c r="P8" s="524"/>
      <c r="Q8" s="527"/>
      <c r="R8" s="527"/>
      <c r="S8" s="718" t="s">
        <v>1905</v>
      </c>
      <c r="T8" s="514">
        <v>500</v>
      </c>
      <c r="U8" s="514">
        <f>X8+Y8-T8-V8</f>
        <v>84.25</v>
      </c>
      <c r="V8" s="528">
        <v>160.75</v>
      </c>
      <c r="W8" s="514" t="s">
        <v>995</v>
      </c>
      <c r="X8" s="514">
        <v>750</v>
      </c>
      <c r="Y8" s="514">
        <v>-5</v>
      </c>
    </row>
    <row r="9" spans="2:28" s="427" customFormat="1" ht="13.5" customHeight="1" x14ac:dyDescent="0.25">
      <c r="B9" s="508"/>
      <c r="C9" s="508"/>
      <c r="D9" s="524">
        <v>0</v>
      </c>
      <c r="E9" s="524">
        <v>1</v>
      </c>
      <c r="F9" s="524"/>
      <c r="G9" s="524"/>
      <c r="H9" s="529">
        <v>44682</v>
      </c>
      <c r="I9" s="526">
        <v>38</v>
      </c>
      <c r="J9" s="518">
        <v>0</v>
      </c>
      <c r="K9" s="518"/>
      <c r="L9" s="518">
        <v>0</v>
      </c>
      <c r="M9" s="526">
        <v>82</v>
      </c>
      <c r="N9" s="526" t="s">
        <v>2332</v>
      </c>
      <c r="O9" s="524">
        <v>139</v>
      </c>
      <c r="P9" s="524"/>
      <c r="Q9" s="524"/>
      <c r="R9" s="524">
        <f>-ABS(T8)</f>
        <v>-500</v>
      </c>
      <c r="S9" s="718"/>
      <c r="T9" s="513" t="s">
        <v>1904</v>
      </c>
      <c r="U9" s="513" t="s">
        <v>517</v>
      </c>
      <c r="V9" s="514" t="s">
        <v>1901</v>
      </c>
      <c r="W9" s="513"/>
      <c r="X9" s="513" t="s">
        <v>1903</v>
      </c>
      <c r="Y9" s="514" t="s">
        <v>1957</v>
      </c>
    </row>
    <row r="10" spans="2:28" s="427" customFormat="1" ht="13.5" customHeight="1" x14ac:dyDescent="0.25">
      <c r="B10" s="508"/>
      <c r="C10" s="508"/>
      <c r="D10" s="509"/>
      <c r="E10" s="509">
        <v>2</v>
      </c>
      <c r="F10" s="509"/>
      <c r="G10" s="509"/>
      <c r="H10" s="510">
        <v>44713</v>
      </c>
      <c r="I10" s="511">
        <v>38</v>
      </c>
      <c r="J10" s="518">
        <v>0</v>
      </c>
      <c r="K10" s="518"/>
      <c r="L10" s="518">
        <v>0</v>
      </c>
      <c r="M10" s="511">
        <v>82</v>
      </c>
      <c r="N10" s="511"/>
      <c r="O10" s="509">
        <v>156</v>
      </c>
      <c r="P10" s="509"/>
      <c r="Q10" s="509"/>
      <c r="R10" s="509"/>
      <c r="S10" s="508"/>
      <c r="T10" s="513"/>
      <c r="U10" s="513"/>
      <c r="V10" s="514"/>
      <c r="W10" s="513"/>
      <c r="X10" s="513"/>
      <c r="Y10" s="514"/>
      <c r="Z10" s="433"/>
    </row>
    <row r="11" spans="2:28" s="427" customFormat="1" ht="13.5" customHeight="1" x14ac:dyDescent="0.25">
      <c r="B11" s="508">
        <v>16</v>
      </c>
      <c r="C11" s="508">
        <v>17</v>
      </c>
      <c r="D11" s="509">
        <v>0</v>
      </c>
      <c r="E11" s="509"/>
      <c r="F11" s="509"/>
      <c r="G11" s="509"/>
      <c r="H11" s="510">
        <v>44743</v>
      </c>
      <c r="I11" s="511">
        <v>38</v>
      </c>
      <c r="J11" s="518">
        <v>0</v>
      </c>
      <c r="K11" s="518"/>
      <c r="L11" s="518">
        <v>0</v>
      </c>
      <c r="M11" s="511">
        <v>82</v>
      </c>
      <c r="N11" s="511" t="s">
        <v>2333</v>
      </c>
      <c r="O11" s="509">
        <v>141</v>
      </c>
      <c r="P11" s="509"/>
      <c r="Q11" s="509"/>
      <c r="R11" s="509">
        <v>498</v>
      </c>
      <c r="S11" s="530" t="s">
        <v>2267</v>
      </c>
      <c r="T11" s="513"/>
      <c r="U11" s="513"/>
      <c r="V11" s="514"/>
      <c r="W11" s="513"/>
      <c r="X11" s="513"/>
      <c r="Y11" s="514"/>
      <c r="Z11" s="433"/>
    </row>
    <row r="12" spans="2:28" s="427" customFormat="1" ht="13.5" customHeight="1" x14ac:dyDescent="0.25">
      <c r="B12" s="508"/>
      <c r="C12" s="508"/>
      <c r="D12" s="509"/>
      <c r="E12" s="509"/>
      <c r="F12" s="509"/>
      <c r="G12" s="509"/>
      <c r="H12" s="510">
        <v>44774</v>
      </c>
      <c r="I12" s="511">
        <v>38</v>
      </c>
      <c r="J12" s="511">
        <v>0</v>
      </c>
      <c r="K12" s="518"/>
      <c r="L12" s="518">
        <v>0</v>
      </c>
      <c r="M12" s="511">
        <v>77</v>
      </c>
      <c r="N12" s="511" t="s">
        <v>2334</v>
      </c>
      <c r="O12" s="509">
        <v>142</v>
      </c>
      <c r="P12" s="509"/>
      <c r="Q12" s="509"/>
      <c r="R12" s="509"/>
      <c r="S12" s="512"/>
      <c r="T12" s="513"/>
      <c r="U12" s="513"/>
      <c r="V12" s="514"/>
      <c r="W12" s="513"/>
      <c r="X12" s="513"/>
      <c r="Y12" s="514"/>
      <c r="Z12" s="433"/>
    </row>
    <row r="13" spans="2:28" s="514" customFormat="1" x14ac:dyDescent="0.25">
      <c r="D13" s="524"/>
      <c r="E13" s="524"/>
      <c r="F13" s="524"/>
      <c r="G13" s="524"/>
      <c r="H13" s="529"/>
      <c r="I13" s="526"/>
      <c r="J13" s="526"/>
      <c r="K13" s="526"/>
      <c r="L13" s="526"/>
      <c r="M13" s="526"/>
      <c r="N13" s="526"/>
      <c r="O13" s="524"/>
      <c r="P13" s="524"/>
      <c r="Q13" s="524"/>
      <c r="R13" s="524"/>
      <c r="S13" s="719" t="s">
        <v>1902</v>
      </c>
      <c r="T13" s="514">
        <f>685-5</f>
        <v>680</v>
      </c>
      <c r="U13" s="531">
        <v>-7.3</v>
      </c>
      <c r="V13" s="514" t="s">
        <v>995</v>
      </c>
      <c r="W13" s="514">
        <f>SUM(T13:U13)</f>
        <v>672.7</v>
      </c>
    </row>
    <row r="14" spans="2:28" s="514" customFormat="1" x14ac:dyDescent="0.25">
      <c r="D14" s="524">
        <v>0</v>
      </c>
      <c r="E14" s="524">
        <v>7</v>
      </c>
      <c r="F14" s="524"/>
      <c r="G14" s="524"/>
      <c r="H14" s="529">
        <v>44825</v>
      </c>
      <c r="I14" s="526">
        <v>38</v>
      </c>
      <c r="J14" s="526">
        <v>80</v>
      </c>
      <c r="K14" s="532"/>
      <c r="L14" s="526">
        <v>0</v>
      </c>
      <c r="M14" s="532">
        <v>70</v>
      </c>
      <c r="N14" s="532"/>
      <c r="O14" s="532">
        <v>787</v>
      </c>
      <c r="P14" s="533"/>
      <c r="Q14" s="524"/>
      <c r="R14" s="524">
        <v>492</v>
      </c>
      <c r="S14" s="719"/>
      <c r="T14" s="513" t="s">
        <v>2274</v>
      </c>
      <c r="U14" s="513" t="s">
        <v>2273</v>
      </c>
      <c r="V14" s="513"/>
      <c r="W14" s="528" t="s">
        <v>1900</v>
      </c>
    </row>
    <row r="15" spans="2:28" s="508" customFormat="1" x14ac:dyDescent="0.25">
      <c r="B15" s="508">
        <v>16</v>
      </c>
      <c r="C15" s="508">
        <v>17</v>
      </c>
      <c r="D15" s="515">
        <v>38</v>
      </c>
      <c r="E15" s="515">
        <v>149</v>
      </c>
      <c r="F15" s="515"/>
      <c r="G15" s="515"/>
      <c r="H15" s="543">
        <v>44830</v>
      </c>
      <c r="I15" s="517">
        <v>38</v>
      </c>
      <c r="J15" s="517">
        <v>320</v>
      </c>
      <c r="K15" s="541"/>
      <c r="L15" s="517">
        <v>150</v>
      </c>
      <c r="M15" s="541">
        <v>70</v>
      </c>
      <c r="N15" s="541"/>
      <c r="O15" s="541">
        <v>607</v>
      </c>
      <c r="P15" s="540"/>
      <c r="Q15" s="541">
        <f>D15+E15+K15+J15</f>
        <v>507</v>
      </c>
      <c r="R15" s="515">
        <v>492</v>
      </c>
      <c r="S15" s="522" t="s">
        <v>2259</v>
      </c>
      <c r="T15" s="523">
        <f>U6+V8-(39-38)+0.6</f>
        <v>180.35999999999999</v>
      </c>
      <c r="U15" s="544" t="s">
        <v>2301</v>
      </c>
      <c r="X15" s="523"/>
      <c r="Y15" s="523"/>
      <c r="Z15" s="523"/>
      <c r="AA15" s="523"/>
      <c r="AB15" s="523"/>
    </row>
    <row r="16" spans="2:28" s="508" customFormat="1" x14ac:dyDescent="0.25">
      <c r="B16" s="508">
        <v>16</v>
      </c>
      <c r="C16" s="508">
        <v>17</v>
      </c>
      <c r="D16" s="515">
        <v>38</v>
      </c>
      <c r="E16" s="524">
        <v>151</v>
      </c>
      <c r="F16" s="524"/>
      <c r="G16" s="515"/>
      <c r="H16" s="543">
        <v>44866</v>
      </c>
      <c r="I16" s="517">
        <v>38</v>
      </c>
      <c r="J16" s="517"/>
      <c r="K16" s="541"/>
      <c r="L16" s="517"/>
      <c r="M16" s="541"/>
      <c r="N16" s="541"/>
      <c r="O16" s="541"/>
      <c r="P16" s="540"/>
      <c r="Q16" s="541"/>
      <c r="R16" s="515"/>
      <c r="S16" s="522"/>
      <c r="T16" s="523"/>
      <c r="U16" s="544"/>
      <c r="X16" s="523"/>
      <c r="Y16" s="523"/>
      <c r="Z16" s="523"/>
      <c r="AA16" s="523"/>
      <c r="AB16" s="523"/>
    </row>
    <row r="17" spans="2:28" s="545" customFormat="1" x14ac:dyDescent="0.25">
      <c r="B17" s="508">
        <v>16</v>
      </c>
      <c r="C17" s="508">
        <v>17</v>
      </c>
      <c r="D17" s="546">
        <v>38</v>
      </c>
      <c r="E17" s="546">
        <f>133+20</f>
        <v>153</v>
      </c>
      <c r="F17" s="546">
        <v>176</v>
      </c>
      <c r="G17" s="546">
        <v>24.5</v>
      </c>
      <c r="H17" s="547">
        <v>44897</v>
      </c>
      <c r="I17" s="548">
        <v>38</v>
      </c>
      <c r="J17" s="548">
        <v>65</v>
      </c>
      <c r="K17" s="549"/>
      <c r="L17" s="548">
        <v>225</v>
      </c>
      <c r="M17" s="549">
        <v>70</v>
      </c>
      <c r="N17" s="549"/>
      <c r="O17" s="549">
        <f>ROUND(snap!C19/1000,1)</f>
        <v>619.1</v>
      </c>
      <c r="P17" s="550"/>
      <c r="Q17" s="541">
        <f>SUM(D17:G17)+J17+L17</f>
        <v>681.5</v>
      </c>
      <c r="R17" s="546"/>
      <c r="S17" s="551"/>
      <c r="T17" s="552"/>
      <c r="U17" s="553"/>
      <c r="X17" s="552"/>
      <c r="Y17" s="552"/>
      <c r="Z17" s="552"/>
      <c r="AA17" s="552"/>
      <c r="AB17" s="552"/>
    </row>
    <row r="18" spans="2:28" s="545" customFormat="1" x14ac:dyDescent="0.25">
      <c r="D18" s="546"/>
      <c r="E18" s="546"/>
      <c r="F18" s="546"/>
      <c r="G18" s="546"/>
      <c r="H18" s="547"/>
      <c r="I18" s="548"/>
      <c r="J18" s="548"/>
      <c r="K18" s="549"/>
      <c r="L18" s="548"/>
      <c r="M18" s="549"/>
      <c r="N18" s="549"/>
      <c r="O18" s="549"/>
      <c r="P18" s="550"/>
      <c r="Q18" s="549"/>
      <c r="R18" s="546"/>
      <c r="S18" s="551"/>
      <c r="T18" s="552"/>
      <c r="U18" s="553"/>
      <c r="X18" s="552"/>
      <c r="Y18" s="552"/>
      <c r="Z18" s="552"/>
      <c r="AA18" s="552"/>
      <c r="AB18" s="552"/>
    </row>
    <row r="19" spans="2:28" s="545" customFormat="1" x14ac:dyDescent="0.25">
      <c r="D19" s="546"/>
      <c r="E19" s="546"/>
      <c r="F19" s="546"/>
      <c r="G19" s="546"/>
      <c r="H19" s="547"/>
      <c r="I19" s="548"/>
      <c r="J19" s="548"/>
      <c r="K19" s="549"/>
      <c r="L19" s="548"/>
      <c r="M19" s="549"/>
      <c r="N19" s="549"/>
      <c r="O19" s="549"/>
      <c r="P19" s="550"/>
      <c r="Q19" s="549"/>
      <c r="R19" s="546"/>
      <c r="S19" s="551"/>
      <c r="T19" s="552"/>
      <c r="U19" s="553"/>
      <c r="X19" s="552"/>
      <c r="Y19" s="552"/>
      <c r="Z19" s="552"/>
      <c r="AA19" s="552"/>
      <c r="AB19" s="552"/>
    </row>
    <row r="20" spans="2:28" x14ac:dyDescent="0.25">
      <c r="B20" s="464"/>
      <c r="C20" s="484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60"/>
      <c r="T20" s="460"/>
    </row>
    <row r="21" spans="2:28" s="461" customFormat="1" x14ac:dyDescent="0.25">
      <c r="B21" s="464"/>
      <c r="C21" s="484"/>
      <c r="D21" s="382"/>
      <c r="E21" s="382"/>
      <c r="F21" s="382"/>
      <c r="G21" s="382"/>
      <c r="H21" s="397" t="s">
        <v>2348</v>
      </c>
      <c r="I21" s="383"/>
      <c r="J21" s="383"/>
      <c r="K21" s="492"/>
      <c r="L21" s="492"/>
      <c r="M21" s="383"/>
      <c r="N21" s="383"/>
      <c r="O21" s="452">
        <f>O15-U21</f>
        <v>594</v>
      </c>
      <c r="P21" s="382"/>
      <c r="Q21" s="382"/>
      <c r="R21" s="382"/>
      <c r="S21" s="460"/>
      <c r="T21" s="386" t="s">
        <v>2279</v>
      </c>
      <c r="U21" s="460">
        <v>13</v>
      </c>
    </row>
    <row r="22" spans="2:28" s="450" customFormat="1" x14ac:dyDescent="0.25">
      <c r="B22" s="488">
        <f>B15+0.27*U22</f>
        <v>26.26</v>
      </c>
      <c r="C22" s="485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66">
        <f>J17</f>
        <v>65</v>
      </c>
      <c r="K22" s="535"/>
      <c r="L22" s="467"/>
      <c r="M22" s="463"/>
      <c r="N22" s="463"/>
      <c r="O22" s="452">
        <f>O21-U22</f>
        <v>556</v>
      </c>
      <c r="P22" s="452"/>
      <c r="Q22" s="463">
        <f>D22+E22+G22+J22+K22</f>
        <v>272.38</v>
      </c>
      <c r="R22" s="382">
        <v>490</v>
      </c>
      <c r="T22" s="453" t="s">
        <v>2272</v>
      </c>
      <c r="U22" s="460">
        <v>38</v>
      </c>
      <c r="W22" s="451"/>
      <c r="X22" s="451"/>
      <c r="Y22" s="451"/>
      <c r="Z22" s="451"/>
      <c r="AA22" s="451"/>
      <c r="AB22" s="451"/>
    </row>
    <row r="23" spans="2:28" s="461" customFormat="1" x14ac:dyDescent="0.25">
      <c r="B23" s="488">
        <f>B22+0.27*U23</f>
        <v>36.520000000000003</v>
      </c>
      <c r="C23" s="486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81">
        <v>44955</v>
      </c>
      <c r="I23" s="383"/>
      <c r="J23" s="466">
        <f>J22</f>
        <v>65</v>
      </c>
      <c r="K23" s="535"/>
      <c r="L23" s="467"/>
      <c r="M23" s="463"/>
      <c r="N23" s="463"/>
      <c r="O23" s="452" t="s">
        <v>2266</v>
      </c>
      <c r="P23" s="452"/>
      <c r="Q23" s="463">
        <f>D23+E23+G23+J23+K23</f>
        <v>295.76</v>
      </c>
      <c r="R23" s="382">
        <v>486</v>
      </c>
      <c r="T23" s="453" t="s">
        <v>2271</v>
      </c>
      <c r="U23" s="460">
        <v>38</v>
      </c>
      <c r="V23" s="491" t="s">
        <v>2269</v>
      </c>
      <c r="W23" s="460"/>
      <c r="X23" s="460"/>
      <c r="Y23" s="460"/>
      <c r="Z23" s="460"/>
      <c r="AA23" s="460"/>
      <c r="AB23" s="460"/>
    </row>
    <row r="24" spans="2:28" s="461" customFormat="1" x14ac:dyDescent="0.25">
      <c r="B24" s="488"/>
      <c r="C24" s="486"/>
      <c r="D24" s="382"/>
      <c r="E24" s="382"/>
      <c r="F24" s="382"/>
      <c r="G24" s="382"/>
      <c r="H24" s="397"/>
      <c r="I24" s="383"/>
      <c r="J24" s="466"/>
      <c r="K24" s="467"/>
      <c r="L24" s="467"/>
      <c r="M24" s="463"/>
      <c r="N24" s="463"/>
      <c r="O24" s="452"/>
      <c r="P24" s="452"/>
      <c r="Q24" s="382"/>
      <c r="R24" s="382"/>
      <c r="S24" s="453"/>
      <c r="T24" s="460"/>
      <c r="W24" s="460"/>
      <c r="X24" s="460"/>
      <c r="Y24" s="460"/>
      <c r="Z24" s="460"/>
      <c r="AA24" s="460"/>
      <c r="AB24" s="460"/>
    </row>
    <row r="25" spans="2:28" s="461" customFormat="1" x14ac:dyDescent="0.25">
      <c r="B25" s="488"/>
      <c r="C25" s="486"/>
      <c r="D25" s="384"/>
      <c r="E25" s="384" t="s">
        <v>1212</v>
      </c>
      <c r="F25" s="384"/>
      <c r="G25" s="384"/>
      <c r="H25" s="398"/>
      <c r="I25" s="385"/>
      <c r="J25" s="477"/>
      <c r="K25" s="478"/>
      <c r="L25" s="478"/>
      <c r="M25" s="404"/>
      <c r="N25" s="404"/>
      <c r="O25" s="405"/>
      <c r="P25" s="405"/>
      <c r="Q25" s="384" t="s">
        <v>2270</v>
      </c>
      <c r="R25" s="384" t="s">
        <v>1212</v>
      </c>
      <c r="S25" s="482"/>
      <c r="T25" s="483"/>
      <c r="W25" s="460"/>
      <c r="X25" s="460"/>
      <c r="Y25" s="460"/>
      <c r="Z25" s="460"/>
      <c r="AA25" s="460"/>
      <c r="AB25" s="460"/>
    </row>
    <row r="26" spans="2:28" s="461" customFormat="1" x14ac:dyDescent="0.25">
      <c r="B26" s="488">
        <f>B22</f>
        <v>26.26</v>
      </c>
      <c r="C26" s="486"/>
      <c r="D26" s="384">
        <f>D23</f>
        <v>76.759999999999991</v>
      </c>
      <c r="E26" s="384">
        <f>ROUNDDOWN(E23,0)+12</f>
        <v>166</v>
      </c>
      <c r="F26" s="384"/>
      <c r="G26" s="384"/>
      <c r="H26" s="476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2266</v>
      </c>
      <c r="P26" s="405"/>
      <c r="Q26" s="384">
        <f>D26+E26+J26</f>
        <v>307.76</v>
      </c>
      <c r="R26" s="384">
        <v>460</v>
      </c>
      <c r="S26" s="482" t="s">
        <v>2268</v>
      </c>
      <c r="T26" s="483"/>
      <c r="W26" s="460"/>
      <c r="X26" s="460"/>
      <c r="Y26" s="460"/>
      <c r="Z26" s="460"/>
      <c r="AA26" s="460"/>
      <c r="AB26" s="460"/>
    </row>
    <row r="27" spans="2:28" s="461" customFormat="1" x14ac:dyDescent="0.25">
      <c r="B27" s="488"/>
      <c r="C27" s="486"/>
      <c r="D27" s="714" t="s">
        <v>1577</v>
      </c>
      <c r="E27" s="715"/>
      <c r="F27" s="622"/>
      <c r="G27" s="384"/>
      <c r="H27" s="476" t="s">
        <v>2292</v>
      </c>
      <c r="I27" s="385"/>
      <c r="J27" s="477">
        <f>J26-(R26-D26-E26)</f>
        <v>-152.24</v>
      </c>
      <c r="K27" s="539" t="s">
        <v>2349</v>
      </c>
      <c r="L27" s="478"/>
      <c r="M27" s="404"/>
      <c r="N27" s="404"/>
      <c r="O27" s="405" t="s">
        <v>2266</v>
      </c>
      <c r="P27" s="405"/>
      <c r="Q27" s="496" t="s">
        <v>2275</v>
      </c>
      <c r="R27" s="496"/>
      <c r="S27" s="501" t="s">
        <v>2294</v>
      </c>
      <c r="T27" s="483"/>
      <c r="U27" s="505" t="s">
        <v>2302</v>
      </c>
      <c r="W27" s="460"/>
      <c r="X27" s="460"/>
      <c r="Y27" s="460"/>
      <c r="Z27" s="460"/>
      <c r="AA27" s="460"/>
      <c r="AB27" s="460"/>
    </row>
    <row r="28" spans="2:28" s="461" customFormat="1" x14ac:dyDescent="0.25">
      <c r="B28" s="488"/>
      <c r="C28" s="486"/>
      <c r="D28" s="382"/>
      <c r="E28" s="382"/>
      <c r="F28" s="382"/>
      <c r="G28" s="382"/>
      <c r="H28" s="475"/>
      <c r="I28" s="383"/>
      <c r="J28" s="466"/>
      <c r="K28" s="467"/>
      <c r="L28" s="467"/>
      <c r="M28" s="463"/>
      <c r="N28" s="463"/>
      <c r="O28" s="452"/>
      <c r="P28" s="494"/>
      <c r="Q28" s="498"/>
      <c r="R28" s="497"/>
      <c r="S28" s="453"/>
      <c r="T28" s="460"/>
      <c r="W28" s="460"/>
      <c r="X28" s="460"/>
      <c r="Y28" s="460"/>
      <c r="Z28" s="460"/>
      <c r="AA28" s="460"/>
      <c r="AB28" s="460"/>
    </row>
    <row r="29" spans="2:28" s="461" customFormat="1" ht="15.75" customHeight="1" x14ac:dyDescent="0.25">
      <c r="B29" s="488">
        <f>B26</f>
        <v>26.26</v>
      </c>
      <c r="C29" s="487"/>
      <c r="D29" s="384">
        <v>76</v>
      </c>
      <c r="E29" s="384"/>
      <c r="F29" s="384"/>
      <c r="G29" s="384"/>
      <c r="H29" s="480" t="s">
        <v>2296</v>
      </c>
      <c r="I29" s="385"/>
      <c r="J29" s="477"/>
      <c r="K29" s="478"/>
      <c r="L29" s="478"/>
      <c r="M29" s="404"/>
      <c r="N29" s="404"/>
      <c r="O29" s="405"/>
      <c r="P29" s="405"/>
      <c r="Q29" s="502" t="s">
        <v>2303</v>
      </c>
      <c r="R29" s="502"/>
      <c r="S29" s="502"/>
      <c r="T29" s="493"/>
      <c r="U29" s="500"/>
      <c r="V29" s="500"/>
      <c r="W29" s="500"/>
      <c r="X29" s="460"/>
      <c r="Y29" s="460"/>
      <c r="Z29" s="460"/>
      <c r="AA29" s="460"/>
      <c r="AB29" s="460"/>
    </row>
    <row r="30" spans="2:28" x14ac:dyDescent="0.25">
      <c r="B30" s="488">
        <f>B29</f>
        <v>26.26</v>
      </c>
      <c r="C30" s="487">
        <f>C23+D23</f>
        <v>110.47999999999999</v>
      </c>
      <c r="D30" s="384">
        <v>0</v>
      </c>
      <c r="E30" s="479"/>
      <c r="F30" s="479"/>
      <c r="G30" s="479"/>
      <c r="H30" s="479" t="s">
        <v>2292</v>
      </c>
      <c r="I30" s="385"/>
      <c r="J30" s="385"/>
      <c r="K30" s="385"/>
      <c r="L30" s="385"/>
      <c r="M30" s="385"/>
      <c r="N30" s="385"/>
      <c r="O30" s="384"/>
      <c r="P30" s="384"/>
      <c r="Q30" s="493" t="s">
        <v>2295</v>
      </c>
      <c r="R30" s="483"/>
      <c r="S30" s="503"/>
      <c r="T30" s="493"/>
      <c r="U30" s="500"/>
      <c r="V30" s="500"/>
      <c r="W30" s="500"/>
    </row>
    <row r="31" spans="2:28" s="450" customFormat="1" x14ac:dyDescent="0.25">
      <c r="B31" s="488"/>
      <c r="C31" s="486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95"/>
      <c r="Q31" s="499"/>
      <c r="R31" s="380"/>
      <c r="S31" s="451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38" t="s">
        <v>2342</v>
      </c>
    </row>
    <row r="37" spans="3:18" ht="23.25" x14ac:dyDescent="0.35">
      <c r="C37" s="538" t="s">
        <v>2346</v>
      </c>
    </row>
    <row r="38" spans="3:18" x14ac:dyDescent="0.25">
      <c r="C38" s="461" t="s">
        <v>2347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31"/>
  <sheetViews>
    <sheetView workbookViewId="0">
      <selection activeCell="A30" sqref="A30"/>
    </sheetView>
  </sheetViews>
  <sheetFormatPr defaultRowHeight="12.75" x14ac:dyDescent="0.2"/>
  <sheetData>
    <row r="1" spans="1:1" x14ac:dyDescent="0.2">
      <c r="A1">
        <v>30</v>
      </c>
    </row>
    <row r="2" spans="1:1" x14ac:dyDescent="0.2">
      <c r="A2">
        <v>30</v>
      </c>
    </row>
    <row r="3" spans="1:1" x14ac:dyDescent="0.2">
      <c r="A3">
        <v>29</v>
      </c>
    </row>
    <row r="4" spans="1:1" x14ac:dyDescent="0.2">
      <c r="A4">
        <v>39</v>
      </c>
    </row>
    <row r="5" spans="1:1" x14ac:dyDescent="0.2">
      <c r="A5">
        <v>39</v>
      </c>
    </row>
    <row r="6" spans="1:1" x14ac:dyDescent="0.2">
      <c r="A6">
        <v>39</v>
      </c>
    </row>
    <row r="7" spans="1:1" x14ac:dyDescent="0.2">
      <c r="A7">
        <v>4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7</v>
      </c>
    </row>
    <row r="11" spans="1:1" x14ac:dyDescent="0.2">
      <c r="A11">
        <v>7</v>
      </c>
    </row>
    <row r="12" spans="1:1" x14ac:dyDescent="0.2">
      <c r="A12">
        <v>7</v>
      </c>
    </row>
    <row r="13" spans="1:1" x14ac:dyDescent="0.2">
      <c r="A13">
        <v>7</v>
      </c>
    </row>
    <row r="14" spans="1:1" x14ac:dyDescent="0.2">
      <c r="A14">
        <v>7</v>
      </c>
    </row>
    <row r="15" spans="1:1" x14ac:dyDescent="0.2">
      <c r="A15">
        <v>6</v>
      </c>
    </row>
    <row r="16" spans="1:1" x14ac:dyDescent="0.2">
      <c r="A16">
        <v>6</v>
      </c>
    </row>
    <row r="17" spans="1:2" x14ac:dyDescent="0.2">
      <c r="A17">
        <v>3</v>
      </c>
    </row>
    <row r="18" spans="1:2" x14ac:dyDescent="0.2">
      <c r="A18">
        <v>3</v>
      </c>
    </row>
    <row r="19" spans="1:2" x14ac:dyDescent="0.2">
      <c r="A19">
        <v>3</v>
      </c>
    </row>
    <row r="20" spans="1:2" x14ac:dyDescent="0.2">
      <c r="A20">
        <v>3</v>
      </c>
    </row>
    <row r="21" spans="1:2" x14ac:dyDescent="0.2">
      <c r="A21">
        <v>3</v>
      </c>
    </row>
    <row r="22" spans="1:2" x14ac:dyDescent="0.2">
      <c r="A22">
        <v>2</v>
      </c>
    </row>
    <row r="23" spans="1:2" x14ac:dyDescent="0.2">
      <c r="A23">
        <v>0</v>
      </c>
    </row>
    <row r="24" spans="1:2" x14ac:dyDescent="0.2">
      <c r="A24">
        <v>5</v>
      </c>
    </row>
    <row r="25" spans="1:2" x14ac:dyDescent="0.2">
      <c r="A25">
        <v>2</v>
      </c>
    </row>
    <row r="26" spans="1:2" x14ac:dyDescent="0.2">
      <c r="A26">
        <v>2</v>
      </c>
    </row>
    <row r="27" spans="1:2" x14ac:dyDescent="0.2">
      <c r="A27">
        <v>2</v>
      </c>
    </row>
    <row r="28" spans="1:2" x14ac:dyDescent="0.2">
      <c r="A28">
        <v>1</v>
      </c>
    </row>
    <row r="29" spans="1:2" x14ac:dyDescent="0.2">
      <c r="A29">
        <v>1</v>
      </c>
    </row>
    <row r="30" spans="1:2" x14ac:dyDescent="0.2">
      <c r="A30">
        <v>16</v>
      </c>
    </row>
    <row r="31" spans="1:2" x14ac:dyDescent="0.2">
      <c r="A31" t="s">
        <v>2534</v>
      </c>
      <c r="B31">
        <f>AVERAGE(A1:A30)</f>
        <v>10.1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51"/>
      <c r="H3" s="652"/>
      <c r="I3" s="312"/>
      <c r="J3" s="653">
        <v>43891</v>
      </c>
      <c r="K3" s="654"/>
      <c r="L3" s="313"/>
      <c r="M3" s="651">
        <v>43739</v>
      </c>
      <c r="N3" s="652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55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55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55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50" t="s">
        <v>1219</v>
      </c>
      <c r="C37" s="650"/>
      <c r="D37" s="650"/>
      <c r="E37" s="650"/>
      <c r="F37" s="650"/>
      <c r="G37" s="650"/>
      <c r="H37" s="650"/>
      <c r="I37" s="650"/>
      <c r="J37" s="650"/>
      <c r="K37" s="650"/>
      <c r="L37" s="650"/>
      <c r="M37" s="650"/>
      <c r="N37" s="650"/>
    </row>
    <row r="38" spans="2:14" x14ac:dyDescent="0.2">
      <c r="B38" s="650" t="s">
        <v>1217</v>
      </c>
      <c r="C38" s="650"/>
      <c r="D38" s="650"/>
      <c r="E38" s="650"/>
      <c r="F38" s="650"/>
      <c r="G38" s="650"/>
      <c r="H38" s="650"/>
      <c r="I38" s="650"/>
      <c r="J38" s="650"/>
      <c r="K38" s="650"/>
      <c r="L38" s="650"/>
      <c r="M38" s="650"/>
      <c r="N38" s="650"/>
    </row>
    <row r="39" spans="2:14" x14ac:dyDescent="0.2">
      <c r="B39" s="650"/>
      <c r="C39" s="650"/>
      <c r="D39" s="650"/>
      <c r="E39" s="650"/>
      <c r="F39" s="650"/>
      <c r="G39" s="650"/>
      <c r="H39" s="650"/>
      <c r="I39" s="650"/>
      <c r="J39" s="650"/>
      <c r="K39" s="650"/>
      <c r="L39" s="650"/>
      <c r="M39" s="650"/>
      <c r="N39" s="650"/>
    </row>
    <row r="40" spans="2:14" x14ac:dyDescent="0.2">
      <c r="B40" s="649" t="s">
        <v>1220</v>
      </c>
      <c r="C40" s="649"/>
      <c r="D40" s="649"/>
      <c r="E40" s="649"/>
      <c r="F40" s="649"/>
      <c r="G40" s="649"/>
      <c r="H40" s="649"/>
      <c r="I40" s="649"/>
      <c r="J40" s="649"/>
      <c r="K40" s="649"/>
      <c r="L40" s="649"/>
      <c r="M40" s="649"/>
      <c r="N40" s="649"/>
    </row>
    <row r="41" spans="2:14" x14ac:dyDescent="0.2">
      <c r="B41" s="649"/>
      <c r="C41" s="649"/>
      <c r="D41" s="649"/>
      <c r="E41" s="649"/>
      <c r="F41" s="649"/>
      <c r="G41" s="649"/>
      <c r="H41" s="649"/>
      <c r="I41" s="649"/>
      <c r="J41" s="649"/>
      <c r="K41" s="649"/>
      <c r="L41" s="649"/>
      <c r="M41" s="649"/>
      <c r="N41" s="649"/>
    </row>
    <row r="42" spans="2:14" x14ac:dyDescent="0.2">
      <c r="B42" s="649"/>
      <c r="C42" s="649"/>
      <c r="D42" s="649"/>
      <c r="E42" s="649"/>
      <c r="F42" s="649"/>
      <c r="G42" s="649"/>
      <c r="H42" s="649"/>
      <c r="I42" s="649"/>
      <c r="J42" s="649"/>
      <c r="K42" s="649"/>
      <c r="L42" s="649"/>
      <c r="M42" s="649"/>
      <c r="N42" s="649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67" t="s">
        <v>124</v>
      </c>
      <c r="C1" s="667"/>
      <c r="D1" s="671" t="s">
        <v>292</v>
      </c>
      <c r="E1" s="671"/>
      <c r="F1" s="671" t="s">
        <v>345</v>
      </c>
      <c r="G1" s="671"/>
      <c r="H1" s="668" t="s">
        <v>127</v>
      </c>
      <c r="I1" s="668"/>
      <c r="J1" s="669" t="s">
        <v>292</v>
      </c>
      <c r="K1" s="669"/>
      <c r="L1" s="670" t="s">
        <v>528</v>
      </c>
      <c r="M1" s="670"/>
      <c r="N1" s="668" t="s">
        <v>146</v>
      </c>
      <c r="O1" s="668"/>
      <c r="P1" s="669" t="s">
        <v>293</v>
      </c>
      <c r="Q1" s="669"/>
      <c r="R1" s="670" t="s">
        <v>530</v>
      </c>
      <c r="S1" s="670"/>
      <c r="T1" s="656" t="s">
        <v>193</v>
      </c>
      <c r="U1" s="656"/>
      <c r="V1" s="669" t="s">
        <v>292</v>
      </c>
      <c r="W1" s="669"/>
      <c r="X1" s="658" t="s">
        <v>532</v>
      </c>
      <c r="Y1" s="658"/>
      <c r="Z1" s="656" t="s">
        <v>241</v>
      </c>
      <c r="AA1" s="656"/>
      <c r="AB1" s="657" t="s">
        <v>292</v>
      </c>
      <c r="AC1" s="657"/>
      <c r="AD1" s="666" t="s">
        <v>532</v>
      </c>
      <c r="AE1" s="666"/>
      <c r="AF1" s="656" t="s">
        <v>373</v>
      </c>
      <c r="AG1" s="656"/>
      <c r="AH1" s="657" t="s">
        <v>292</v>
      </c>
      <c r="AI1" s="657"/>
      <c r="AJ1" s="658" t="s">
        <v>538</v>
      </c>
      <c r="AK1" s="658"/>
      <c r="AL1" s="656" t="s">
        <v>395</v>
      </c>
      <c r="AM1" s="656"/>
      <c r="AN1" s="664" t="s">
        <v>292</v>
      </c>
      <c r="AO1" s="664"/>
      <c r="AP1" s="662" t="s">
        <v>539</v>
      </c>
      <c r="AQ1" s="662"/>
      <c r="AR1" s="656" t="s">
        <v>422</v>
      </c>
      <c r="AS1" s="656"/>
      <c r="AV1" s="662" t="s">
        <v>285</v>
      </c>
      <c r="AW1" s="662"/>
      <c r="AX1" s="665" t="s">
        <v>1010</v>
      </c>
      <c r="AY1" s="665"/>
      <c r="AZ1" s="665"/>
      <c r="BA1" s="213"/>
      <c r="BB1" s="660">
        <v>42942</v>
      </c>
      <c r="BC1" s="661"/>
      <c r="BD1" s="66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9" t="s">
        <v>261</v>
      </c>
      <c r="U4" s="659"/>
      <c r="X4" s="122" t="s">
        <v>233</v>
      </c>
      <c r="Y4" s="126">
        <f>Y3-Y6</f>
        <v>4.9669099999591708</v>
      </c>
      <c r="Z4" s="659" t="s">
        <v>262</v>
      </c>
      <c r="AA4" s="659"/>
      <c r="AD4" s="157" t="s">
        <v>233</v>
      </c>
      <c r="AE4" s="157">
        <f>AE3-AE5</f>
        <v>-52.526899999851594</v>
      </c>
      <c r="AF4" s="659" t="s">
        <v>262</v>
      </c>
      <c r="AG4" s="659"/>
      <c r="AH4" s="146"/>
      <c r="AI4" s="146"/>
      <c r="AJ4" s="157" t="s">
        <v>233</v>
      </c>
      <c r="AK4" s="157">
        <f>AK3-AK5</f>
        <v>94.988909999992757</v>
      </c>
      <c r="AL4" s="659" t="s">
        <v>262</v>
      </c>
      <c r="AM4" s="659"/>
      <c r="AP4" s="173" t="s">
        <v>233</v>
      </c>
      <c r="AQ4" s="177">
        <f>AQ3-AQ5</f>
        <v>33.841989999942598</v>
      </c>
      <c r="AR4" s="659" t="s">
        <v>262</v>
      </c>
      <c r="AS4" s="659"/>
      <c r="AX4" s="659" t="s">
        <v>572</v>
      </c>
      <c r="AY4" s="659"/>
      <c r="BB4" s="659" t="s">
        <v>575</v>
      </c>
      <c r="BC4" s="65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59"/>
      <c r="U5" s="659"/>
      <c r="V5" s="3" t="s">
        <v>258</v>
      </c>
      <c r="W5">
        <v>2050</v>
      </c>
      <c r="X5" s="82"/>
      <c r="Z5" s="659"/>
      <c r="AA5" s="65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59"/>
      <c r="AG5" s="659"/>
      <c r="AH5" s="146"/>
      <c r="AI5" s="146"/>
      <c r="AJ5" s="157" t="s">
        <v>358</v>
      </c>
      <c r="AK5" s="165">
        <f>SUM(AK11:AK59)</f>
        <v>30858.011000000002</v>
      </c>
      <c r="AL5" s="659"/>
      <c r="AM5" s="65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59"/>
      <c r="AS5" s="659"/>
      <c r="AX5" s="659"/>
      <c r="AY5" s="659"/>
      <c r="BB5" s="659"/>
      <c r="BC5" s="659"/>
      <c r="BD5" s="663" t="s">
        <v>1011</v>
      </c>
      <c r="BE5" s="663"/>
      <c r="BF5" s="663"/>
      <c r="BG5" s="663"/>
      <c r="BH5" s="663"/>
      <c r="BI5" s="663"/>
      <c r="BJ5" s="663"/>
      <c r="BK5" s="66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72" t="s">
        <v>264</v>
      </c>
      <c r="W23" s="67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74"/>
      <c r="W24" s="67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76" t="s">
        <v>1001</v>
      </c>
      <c r="C24" s="676"/>
      <c r="D24" s="676"/>
      <c r="E24" s="676"/>
      <c r="F24" s="676"/>
      <c r="G24" s="676"/>
      <c r="H24" s="676"/>
      <c r="I24" s="676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67" t="s">
        <v>917</v>
      </c>
      <c r="C1" s="667"/>
      <c r="D1" s="666" t="s">
        <v>523</v>
      </c>
      <c r="E1" s="666"/>
      <c r="F1" s="667" t="s">
        <v>521</v>
      </c>
      <c r="G1" s="667"/>
      <c r="H1" s="677" t="s">
        <v>557</v>
      </c>
      <c r="I1" s="677"/>
      <c r="J1" s="666" t="s">
        <v>523</v>
      </c>
      <c r="K1" s="666"/>
      <c r="L1" s="667" t="s">
        <v>916</v>
      </c>
      <c r="M1" s="667"/>
      <c r="N1" s="677" t="s">
        <v>557</v>
      </c>
      <c r="O1" s="677"/>
      <c r="P1" s="666" t="s">
        <v>523</v>
      </c>
      <c r="Q1" s="666"/>
      <c r="R1" s="667" t="s">
        <v>560</v>
      </c>
      <c r="S1" s="667"/>
      <c r="T1" s="677" t="s">
        <v>557</v>
      </c>
      <c r="U1" s="677"/>
      <c r="V1" s="666" t="s">
        <v>523</v>
      </c>
      <c r="W1" s="666"/>
      <c r="X1" s="667" t="s">
        <v>915</v>
      </c>
      <c r="Y1" s="667"/>
      <c r="Z1" s="677" t="s">
        <v>557</v>
      </c>
      <c r="AA1" s="677"/>
      <c r="AB1" s="666" t="s">
        <v>523</v>
      </c>
      <c r="AC1" s="666"/>
      <c r="AD1" s="667" t="s">
        <v>599</v>
      </c>
      <c r="AE1" s="667"/>
      <c r="AF1" s="677" t="s">
        <v>557</v>
      </c>
      <c r="AG1" s="677"/>
      <c r="AH1" s="666" t="s">
        <v>523</v>
      </c>
      <c r="AI1" s="666"/>
      <c r="AJ1" s="667" t="s">
        <v>914</v>
      </c>
      <c r="AK1" s="667"/>
      <c r="AL1" s="677" t="s">
        <v>634</v>
      </c>
      <c r="AM1" s="677"/>
      <c r="AN1" s="666" t="s">
        <v>635</v>
      </c>
      <c r="AO1" s="666"/>
      <c r="AP1" s="667" t="s">
        <v>629</v>
      </c>
      <c r="AQ1" s="667"/>
      <c r="AR1" s="677" t="s">
        <v>557</v>
      </c>
      <c r="AS1" s="677"/>
      <c r="AT1" s="666" t="s">
        <v>523</v>
      </c>
      <c r="AU1" s="666"/>
      <c r="AV1" s="667" t="s">
        <v>913</v>
      </c>
      <c r="AW1" s="667"/>
      <c r="AX1" s="677" t="s">
        <v>557</v>
      </c>
      <c r="AY1" s="677"/>
      <c r="AZ1" s="666" t="s">
        <v>523</v>
      </c>
      <c r="BA1" s="666"/>
      <c r="BB1" s="667" t="s">
        <v>661</v>
      </c>
      <c r="BC1" s="667"/>
      <c r="BD1" s="677" t="s">
        <v>557</v>
      </c>
      <c r="BE1" s="677"/>
      <c r="BF1" s="666" t="s">
        <v>523</v>
      </c>
      <c r="BG1" s="666"/>
      <c r="BH1" s="667" t="s">
        <v>912</v>
      </c>
      <c r="BI1" s="667"/>
      <c r="BJ1" s="677" t="s">
        <v>557</v>
      </c>
      <c r="BK1" s="677"/>
      <c r="BL1" s="666" t="s">
        <v>523</v>
      </c>
      <c r="BM1" s="666"/>
      <c r="BN1" s="667" t="s">
        <v>931</v>
      </c>
      <c r="BO1" s="667"/>
      <c r="BP1" s="677" t="s">
        <v>557</v>
      </c>
      <c r="BQ1" s="677"/>
      <c r="BR1" s="666" t="s">
        <v>523</v>
      </c>
      <c r="BS1" s="666"/>
      <c r="BT1" s="667" t="s">
        <v>911</v>
      </c>
      <c r="BU1" s="667"/>
      <c r="BV1" s="677" t="s">
        <v>712</v>
      </c>
      <c r="BW1" s="677"/>
      <c r="BX1" s="666" t="s">
        <v>713</v>
      </c>
      <c r="BY1" s="666"/>
      <c r="BZ1" s="667" t="s">
        <v>711</v>
      </c>
      <c r="CA1" s="667"/>
      <c r="CB1" s="677" t="s">
        <v>738</v>
      </c>
      <c r="CC1" s="677"/>
      <c r="CD1" s="666" t="s">
        <v>739</v>
      </c>
      <c r="CE1" s="666"/>
      <c r="CF1" s="667" t="s">
        <v>910</v>
      </c>
      <c r="CG1" s="667"/>
      <c r="CH1" s="677" t="s">
        <v>738</v>
      </c>
      <c r="CI1" s="677"/>
      <c r="CJ1" s="666" t="s">
        <v>739</v>
      </c>
      <c r="CK1" s="666"/>
      <c r="CL1" s="667" t="s">
        <v>756</v>
      </c>
      <c r="CM1" s="667"/>
      <c r="CN1" s="677" t="s">
        <v>738</v>
      </c>
      <c r="CO1" s="677"/>
      <c r="CP1" s="666" t="s">
        <v>739</v>
      </c>
      <c r="CQ1" s="666"/>
      <c r="CR1" s="667" t="s">
        <v>909</v>
      </c>
      <c r="CS1" s="667"/>
      <c r="CT1" s="677" t="s">
        <v>738</v>
      </c>
      <c r="CU1" s="677"/>
      <c r="CV1" s="681" t="s">
        <v>739</v>
      </c>
      <c r="CW1" s="681"/>
      <c r="CX1" s="667" t="s">
        <v>777</v>
      </c>
      <c r="CY1" s="667"/>
      <c r="CZ1" s="677" t="s">
        <v>738</v>
      </c>
      <c r="DA1" s="677"/>
      <c r="DB1" s="681" t="s">
        <v>739</v>
      </c>
      <c r="DC1" s="681"/>
      <c r="DD1" s="667" t="s">
        <v>908</v>
      </c>
      <c r="DE1" s="667"/>
      <c r="DF1" s="677" t="s">
        <v>824</v>
      </c>
      <c r="DG1" s="677"/>
      <c r="DH1" s="681" t="s">
        <v>825</v>
      </c>
      <c r="DI1" s="681"/>
      <c r="DJ1" s="667" t="s">
        <v>817</v>
      </c>
      <c r="DK1" s="667"/>
      <c r="DL1" s="677" t="s">
        <v>824</v>
      </c>
      <c r="DM1" s="677"/>
      <c r="DN1" s="681" t="s">
        <v>739</v>
      </c>
      <c r="DO1" s="681"/>
      <c r="DP1" s="667" t="s">
        <v>907</v>
      </c>
      <c r="DQ1" s="667"/>
      <c r="DR1" s="677" t="s">
        <v>824</v>
      </c>
      <c r="DS1" s="677"/>
      <c r="DT1" s="681" t="s">
        <v>739</v>
      </c>
      <c r="DU1" s="681"/>
      <c r="DV1" s="667" t="s">
        <v>906</v>
      </c>
      <c r="DW1" s="667"/>
      <c r="DX1" s="677" t="s">
        <v>824</v>
      </c>
      <c r="DY1" s="677"/>
      <c r="DZ1" s="681" t="s">
        <v>739</v>
      </c>
      <c r="EA1" s="681"/>
      <c r="EB1" s="667" t="s">
        <v>905</v>
      </c>
      <c r="EC1" s="667"/>
      <c r="ED1" s="677" t="s">
        <v>824</v>
      </c>
      <c r="EE1" s="677"/>
      <c r="EF1" s="681" t="s">
        <v>739</v>
      </c>
      <c r="EG1" s="681"/>
      <c r="EH1" s="667" t="s">
        <v>891</v>
      </c>
      <c r="EI1" s="667"/>
      <c r="EJ1" s="677" t="s">
        <v>824</v>
      </c>
      <c r="EK1" s="677"/>
      <c r="EL1" s="681" t="s">
        <v>946</v>
      </c>
      <c r="EM1" s="681"/>
      <c r="EN1" s="667" t="s">
        <v>932</v>
      </c>
      <c r="EO1" s="667"/>
      <c r="EP1" s="677" t="s">
        <v>824</v>
      </c>
      <c r="EQ1" s="677"/>
      <c r="ER1" s="681" t="s">
        <v>960</v>
      </c>
      <c r="ES1" s="681"/>
      <c r="ET1" s="667" t="s">
        <v>947</v>
      </c>
      <c r="EU1" s="667"/>
      <c r="EV1" s="677" t="s">
        <v>824</v>
      </c>
      <c r="EW1" s="677"/>
      <c r="EX1" s="681" t="s">
        <v>538</v>
      </c>
      <c r="EY1" s="681"/>
      <c r="EZ1" s="667" t="s">
        <v>964</v>
      </c>
      <c r="FA1" s="667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80" t="s">
        <v>787</v>
      </c>
      <c r="CU7" s="667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80" t="s">
        <v>786</v>
      </c>
      <c r="DA8" s="667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80" t="s">
        <v>786</v>
      </c>
      <c r="DG8" s="667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80" t="s">
        <v>786</v>
      </c>
      <c r="DM8" s="667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80" t="s">
        <v>786</v>
      </c>
      <c r="DS8" s="667"/>
      <c r="DT8" s="145" t="s">
        <v>791</v>
      </c>
      <c r="DU8" s="145">
        <f>SUM(DU13:DU17)</f>
        <v>32</v>
      </c>
      <c r="DV8" s="63"/>
      <c r="DW8" s="63"/>
      <c r="DX8" s="680" t="s">
        <v>786</v>
      </c>
      <c r="DY8" s="667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80" t="s">
        <v>938</v>
      </c>
      <c r="EK8" s="667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80" t="s">
        <v>938</v>
      </c>
      <c r="EQ9" s="667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80" t="s">
        <v>938</v>
      </c>
      <c r="EW9" s="667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80" t="s">
        <v>938</v>
      </c>
      <c r="EE11" s="667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80" t="s">
        <v>786</v>
      </c>
      <c r="CU12" s="667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56" t="s">
        <v>790</v>
      </c>
      <c r="CU19" s="656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50" t="s">
        <v>866</v>
      </c>
      <c r="FA21" s="650"/>
      <c r="FC21" s="244">
        <f>FC20-FC22</f>
        <v>113457.16899999997</v>
      </c>
      <c r="FD21" s="236"/>
      <c r="FE21" s="682" t="s">
        <v>1581</v>
      </c>
      <c r="FF21" s="682"/>
      <c r="FG21" s="682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50" t="s">
        <v>879</v>
      </c>
      <c r="FA22" s="65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50" t="s">
        <v>1012</v>
      </c>
      <c r="FA23" s="65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50" t="s">
        <v>1097</v>
      </c>
      <c r="FA24" s="650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78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79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78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79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reno</vt:lpstr>
      <vt:lpstr>BOC raw</vt:lpstr>
      <vt:lpstr>&gt;FD</vt:lpstr>
      <vt:lpstr>HIS19</vt:lpstr>
      <vt:lpstr>!</vt:lpstr>
      <vt:lpstr>snap</vt:lpstr>
      <vt:lpstr>mtg</vt:lpstr>
      <vt:lpstr>271ADB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2022-12-21T11:24:59Z</dcterms:modified>
</cp:coreProperties>
</file>