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2880" yWindow="1950" windowWidth="21240" windowHeight="11835" tabRatio="673" firstSheet="7" activeTab="7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state="hidden" r:id="rId9"/>
    <sheet name="paydown" sheetId="41" r:id="rId10"/>
    <sheet name="MCS intApr" sheetId="45" state="hidden" r:id="rId11"/>
    <sheet name="MCS int" sheetId="42" r:id="rId12"/>
    <sheet name="wife100k" sheetId="43" state="hidden" r:id="rId13"/>
    <sheet name="!" sheetId="33" r:id="rId14"/>
    <sheet name="snap4mtg" sheetId="37" state="hidden" r:id="rId15"/>
    <sheet name="mtg2023" sheetId="35" state="hidden" r:id="rId16"/>
  </sheets>
  <calcPr calcId="162913"/>
</workbook>
</file>

<file path=xl/calcChain.xml><?xml version="1.0" encoding="utf-8"?>
<calcChain xmlns="http://schemas.openxmlformats.org/spreadsheetml/2006/main">
  <c r="JS14" i="32" l="1"/>
  <c r="JS30" i="32" l="1"/>
  <c r="JS28" i="32"/>
  <c r="JS25" i="32"/>
  <c r="KC3" i="32" l="1"/>
  <c r="KC4" i="32"/>
  <c r="JY21" i="32"/>
  <c r="JY2" i="32"/>
  <c r="JY20" i="32"/>
  <c r="JY22" i="32"/>
  <c r="JY23" i="32"/>
  <c r="JY25" i="32"/>
  <c r="KA30" i="32"/>
  <c r="JY26" i="32"/>
  <c r="KC2" i="32" l="1"/>
  <c r="JY24" i="32"/>
  <c r="KA5" i="32"/>
  <c r="JU49" i="32"/>
  <c r="JU14" i="32"/>
  <c r="JU48" i="32"/>
  <c r="JU13" i="32" l="1"/>
  <c r="JU22" i="32"/>
  <c r="JU19" i="32"/>
  <c r="JS26" i="32" l="1"/>
  <c r="JS19" i="32"/>
  <c r="JU29" i="32" l="1"/>
  <c r="JM16" i="32" l="1"/>
  <c r="JM15" i="32"/>
  <c r="JS21" i="32"/>
  <c r="JS31" i="32"/>
  <c r="JS18" i="32"/>
  <c r="JU44" i="32" l="1"/>
  <c r="B5" i="42" l="1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4" i="42"/>
  <c r="B4" i="42"/>
  <c r="D35" i="42"/>
  <c r="B18" i="45"/>
  <c r="B19" i="45"/>
  <c r="B20" i="45"/>
  <c r="B21" i="45"/>
  <c r="B22" i="45"/>
  <c r="B23" i="45"/>
  <c r="B24" i="45"/>
  <c r="B25" i="45"/>
  <c r="B26" i="45"/>
  <c r="B27" i="45"/>
  <c r="B28" i="45"/>
  <c r="B29" i="45"/>
  <c r="B30" i="45"/>
  <c r="B31" i="45"/>
  <c r="B32" i="45"/>
  <c r="B33" i="45"/>
  <c r="D34" i="45"/>
  <c r="K32" i="45" s="1"/>
  <c r="B34" i="45" l="1"/>
  <c r="H30" i="45" s="1"/>
  <c r="H32" i="45" s="1"/>
  <c r="I30" i="45" l="1"/>
  <c r="I32" i="45" s="1"/>
  <c r="J30" i="45"/>
  <c r="J32" i="45" s="1"/>
  <c r="JU20" i="32" l="1"/>
  <c r="JU18" i="32" l="1"/>
  <c r="JU28" i="32"/>
  <c r="JS29" i="32" l="1"/>
  <c r="JO14" i="32"/>
  <c r="JU40" i="32" l="1"/>
  <c r="D5" i="44" l="1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4" i="44"/>
  <c r="D3" i="44"/>
  <c r="P3" i="44" l="1"/>
  <c r="P4" i="44"/>
  <c r="P5" i="44"/>
  <c r="P6" i="44"/>
  <c r="P7" i="44"/>
  <c r="P8" i="44"/>
  <c r="L3" i="44"/>
  <c r="L4" i="44"/>
  <c r="L5" i="44"/>
  <c r="L6" i="44"/>
  <c r="L7" i="44"/>
  <c r="L8" i="44"/>
  <c r="H3" i="44"/>
  <c r="H4" i="44"/>
  <c r="H5" i="44"/>
  <c r="H6" i="44"/>
  <c r="H7" i="44"/>
  <c r="H8" i="44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H33" i="44"/>
  <c r="H32" i="44"/>
  <c r="H31" i="44"/>
  <c r="H30" i="44"/>
  <c r="H29" i="44"/>
  <c r="H28" i="44"/>
  <c r="H27" i="44"/>
  <c r="H26" i="44"/>
  <c r="H25" i="44"/>
  <c r="H24" i="44"/>
  <c r="H23" i="44"/>
  <c r="H22" i="44"/>
  <c r="H21" i="44"/>
  <c r="H20" i="44"/>
  <c r="H19" i="44"/>
  <c r="H18" i="44"/>
  <c r="H17" i="44"/>
  <c r="H16" i="44"/>
  <c r="H15" i="44"/>
  <c r="H14" i="44"/>
  <c r="H13" i="44"/>
  <c r="H12" i="44"/>
  <c r="H11" i="44"/>
  <c r="H10" i="44"/>
  <c r="H9" i="44"/>
  <c r="H35" i="44" l="1"/>
  <c r="D35" i="44"/>
  <c r="P35" i="44"/>
  <c r="L35" i="44"/>
  <c r="M14" i="41"/>
  <c r="JU31" i="32"/>
  <c r="JU5" i="32" s="1"/>
  <c r="JS2" i="32" l="1"/>
  <c r="JW3" i="32"/>
  <c r="JW4" i="32"/>
  <c r="JS27" i="32"/>
  <c r="JW2" i="32" l="1"/>
  <c r="KA2" i="32" s="1"/>
  <c r="JO29" i="32"/>
  <c r="KA3" i="32" l="1"/>
  <c r="KA4" i="32"/>
  <c r="JO13" i="32"/>
  <c r="JM27" i="32" l="1"/>
  <c r="JM17" i="32" l="1"/>
  <c r="JM34" i="32" l="1"/>
  <c r="JO21" i="32"/>
  <c r="JO19" i="32"/>
  <c r="JM2" i="32" l="1"/>
  <c r="JI11" i="32" l="1"/>
  <c r="JO20" i="32" l="1"/>
  <c r="JO10" i="32" l="1"/>
  <c r="K33" i="42" l="1"/>
  <c r="B35" i="42" l="1"/>
  <c r="J31" i="42" s="1"/>
  <c r="J33" i="42" s="1"/>
  <c r="JQ4" i="32"/>
  <c r="JQ7" i="32"/>
  <c r="H31" i="42" l="1"/>
  <c r="H33" i="42" s="1"/>
  <c r="I31" i="42"/>
  <c r="I33" i="42" s="1"/>
  <c r="C21" i="41" l="1"/>
  <c r="JO24" i="32" l="1"/>
  <c r="JM26" i="32"/>
  <c r="JM28" i="32"/>
  <c r="JM32" i="32" l="1"/>
  <c r="JM31" i="32"/>
  <c r="JN40" i="32"/>
  <c r="JC17" i="32" l="1"/>
  <c r="JC16" i="32" l="1"/>
  <c r="JI12" i="32"/>
  <c r="JO31" i="32"/>
  <c r="JO5" i="32" s="1"/>
  <c r="JM30" i="32"/>
  <c r="JM29" i="32"/>
  <c r="JQ3" i="32"/>
  <c r="JQ2" i="32" s="1"/>
  <c r="JI28" i="32"/>
  <c r="JI24" i="32"/>
  <c r="JU2" i="32" l="1"/>
  <c r="JI33" i="32"/>
  <c r="JI27" i="32"/>
  <c r="JU3" i="32" l="1"/>
  <c r="JU4" i="32"/>
  <c r="HK30" i="32"/>
  <c r="IO39" i="32"/>
  <c r="IU29" i="32"/>
  <c r="P40" i="34" l="1"/>
  <c r="O20" i="34"/>
  <c r="O40" i="34" s="1"/>
  <c r="O44" i="34" l="1"/>
  <c r="JK17" i="32"/>
  <c r="JG15" i="32" l="1"/>
  <c r="JI31" i="32" l="1"/>
  <c r="JI22" i="32" l="1"/>
  <c r="JG12" i="32" l="1"/>
  <c r="JI30" i="32" l="1"/>
  <c r="JG34" i="32" s="1"/>
  <c r="JG2" i="32" l="1"/>
  <c r="JI20" i="32"/>
  <c r="B7" i="43" l="1"/>
  <c r="G5" i="43"/>
  <c r="G3" i="43"/>
  <c r="B14" i="43" l="1"/>
  <c r="G14" i="43" s="1"/>
  <c r="B22" i="43"/>
  <c r="G22" i="43" s="1"/>
  <c r="G7" i="43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5" i="32"/>
  <c r="JK9" i="32"/>
  <c r="JG31" i="32"/>
  <c r="JG30" i="32"/>
  <c r="JG33" i="32"/>
  <c r="JK2" i="32" l="1"/>
  <c r="JG32" i="32"/>
  <c r="JC36" i="32"/>
  <c r="JO2" i="32" l="1"/>
  <c r="JO4" i="32" s="1"/>
  <c r="JC25" i="32"/>
  <c r="JO3" i="32" l="1"/>
  <c r="JA30" i="32"/>
  <c r="JA17" i="32" l="1"/>
  <c r="JA9" i="32" l="1"/>
  <c r="IU23" i="32" l="1"/>
  <c r="JA29" i="32"/>
  <c r="JC23" i="32" l="1"/>
  <c r="JC13" i="32" l="1"/>
  <c r="JC30" i="32" l="1"/>
  <c r="JA35" i="32" s="1"/>
  <c r="IU5" i="32" l="1"/>
  <c r="JA6" i="32"/>
  <c r="JA2" i="32" s="1"/>
  <c r="JC11" i="32" l="1"/>
  <c r="JA32" i="32" s="1"/>
  <c r="JC22" i="32" l="1"/>
  <c r="JA33" i="32" s="1"/>
  <c r="H10" i="34" l="1"/>
  <c r="JE6" i="32" l="1"/>
  <c r="G20" i="34" l="1"/>
  <c r="G23" i="34"/>
  <c r="G24" i="34"/>
  <c r="G34" i="34" l="1"/>
  <c r="G26" i="34"/>
  <c r="G31" i="34"/>
  <c r="JA31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5" i="32"/>
  <c r="JE9" i="32"/>
  <c r="JA34" i="32"/>
  <c r="JE2" i="32" l="1"/>
  <c r="IW15" i="32"/>
  <c r="IW14" i="32" s="1"/>
  <c r="JI2" i="32" l="1"/>
  <c r="JI3" i="32" s="1"/>
  <c r="IW27" i="32"/>
  <c r="JI4" i="32" l="1"/>
  <c r="IW20" i="32"/>
  <c r="IW17" i="32" l="1"/>
  <c r="G22" i="34" l="1"/>
  <c r="J14" i="41" l="1"/>
  <c r="IY5" i="32" l="1"/>
  <c r="IS3" i="32"/>
  <c r="IM3" i="32"/>
  <c r="IG3" i="32"/>
  <c r="HY14" i="32"/>
  <c r="I4" i="41" l="1"/>
  <c r="I5" i="41" l="1"/>
  <c r="IU8" i="32" l="1"/>
  <c r="IU25" i="32"/>
  <c r="HY47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1" i="41"/>
  <c r="N32" i="41" s="1"/>
  <c r="C26" i="41"/>
  <c r="K16" i="41"/>
  <c r="D5" i="41"/>
  <c r="DH60" i="32"/>
  <c r="DH56" i="32"/>
  <c r="IK54" i="32"/>
  <c r="IE59" i="32"/>
  <c r="IE54" i="32"/>
  <c r="IC33" i="32" s="1"/>
  <c r="HY54" i="32"/>
  <c r="IQ52" i="32"/>
  <c r="IK52" i="32"/>
  <c r="AP52" i="32"/>
  <c r="GO51" i="32"/>
  <c r="IQ50" i="32"/>
  <c r="AP50" i="32"/>
  <c r="IP48" i="32"/>
  <c r="IJ48" i="32"/>
  <c r="HY49" i="32"/>
  <c r="AP47" i="32"/>
  <c r="GO46" i="32"/>
  <c r="EY46" i="32"/>
  <c r="AV46" i="32"/>
  <c r="II45" i="32"/>
  <c r="ID45" i="32"/>
  <c r="HA45" i="32"/>
  <c r="DP45" i="32"/>
  <c r="DP58" i="32" s="1"/>
  <c r="EY44" i="32"/>
  <c r="ES44" i="32"/>
  <c r="GO42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9" i="32"/>
  <c r="IY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JC2" i="32" l="1"/>
  <c r="JC3" i="32" s="1"/>
  <c r="JC4" i="32" s="1"/>
  <c r="HW30" i="32"/>
  <c r="IC31" i="32"/>
  <c r="II49" i="32"/>
  <c r="CU2" i="28"/>
  <c r="CW2" i="28" s="1"/>
  <c r="CW3" i="28" s="1"/>
  <c r="CW4" i="28" s="1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8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4" i="32" s="1"/>
  <c r="II47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JC5" i="32" l="1"/>
  <c r="M23" i="4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JZ14" authorId="3" shapeId="0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2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<sst xmlns="http://schemas.openxmlformats.org/spreadsheetml/2006/main" count="7239" uniqueCount="2908">
  <si>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</si>
  <si>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</si>
  <si>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</si>
  <si>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</si>
  <si>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</si>
  <si>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</si>
  <si>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</si>
  <si>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</si>
  <si>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</si>
  <si>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</si>
  <si>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</si>
  <si>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</si>
  <si>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</si>
  <si>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</si>
  <si>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</si>
  <si>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</si>
  <si>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</si>
  <si>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</si>
  <si>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</si>
  <si>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</si>
  <si>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</si>
  <si>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</si>
  <si>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</si>
  <si>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</si>
  <si>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</si>
  <si>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</si>
  <si>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</si>
  <si>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</si>
  <si>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</si>
  <si>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</si>
  <si>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</si>
  <si>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</si>
  <si>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</si>
  <si>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</si>
  <si>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</si>
  <si>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</si>
  <si>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</si>
  <si>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</si>
  <si>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</si>
  <si>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</si>
  <si>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</si>
  <si>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</si>
  <si>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</si>
  <si>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</si>
  <si>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</si>
  <si>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</si>
  <si>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</si>
  <si>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</si>
  <si>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</si>
  <si>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</si>
  <si>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</si>
  <si>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</si>
  <si>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</si>
  <si>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</si>
  <si>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</si>
  <si>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</si>
  <si>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</si>
  <si>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</si>
  <si>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</si>
  <si>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</si>
  <si>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</si>
  <si>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</si>
  <si>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</si>
  <si>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</si>
  <si>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</si>
  <si>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</si>
  <si>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</si>
  <si>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</si>
  <si>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</si>
  <si>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</si>
  <si>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</si>
  <si>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</si>
  <si>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</si>
  <si>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</si>
  <si>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</si>
  <si>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</si>
  <si>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</si>
  <si>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</si>
  <si>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</si>
  <si>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</si>
  <si>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</si>
  <si>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</si>
  <si>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</si>
  <si>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</si>
  <si>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</si>
  <si>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</si>
  <si>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</si>
  <si>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</si>
  <si>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</si>
  <si>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</si>
  <si>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</si>
  <si>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</si>
  <si>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</si>
  <si>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</si>
  <si>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</si>
  <si>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</si>
  <si>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</si>
  <si>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</si>
  <si>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</si>
  <si>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</si>
  <si>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</si>
  <si>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</si>
  <si>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</si>
  <si>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</si>
  <si>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</si>
  <si>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</si>
  <si>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</si>
  <si>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</si>
  <si>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</si>
  <si>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</si>
  <si>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</si>
  <si>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</si>
  <si>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</si>
  <si>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</si>
  <si>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</si>
  <si>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</si>
  <si>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</si>
  <si>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</si>
  <si>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</si>
  <si>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</si>
  <si>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</si>
  <si>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</si>
  <si>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</si>
  <si>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</si>
  <si>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</si>
  <si>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</si>
  <si>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</si>
  <si>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</si>
  <si>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</si>
  <si>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</si>
  <si>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</si>
  <si>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</si>
  <si>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</si>
  <si>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</si>
  <si>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</si>
  <si>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</si>
  <si>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</si>
  <si>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</si>
  <si>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</si>
  <si>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</si>
  <si>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</si>
  <si>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</si>
  <si>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</si>
  <si>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</si>
  <si>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</si>
  <si>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</si>
  <si>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</si>
  <si>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</si>
  <si>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</si>
  <si>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</si>
  <si>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</si>
  <si>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</si>
  <si>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</si>
  <si>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</si>
  <si>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</si>
  <si>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</si>
  <si>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</si>
  <si>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</si>
  <si>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</si>
  <si>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</si>
  <si>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</si>
  <si>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</si>
  <si>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</si>
  <si>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</si>
  <si>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</si>
  <si>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</si>
  <si>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</si>
  <si>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</si>
  <si>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</si>
  <si>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</si>
  <si>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</si>
  <si>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</si>
  <si>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</si>
  <si>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</si>
  <si>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</si>
  <si>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</si>
  <si>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</si>
  <si>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</si>
  <si>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</si>
  <si>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</si>
  <si>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</si>
  <si>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</si>
  <si>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</si>
  <si>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</si>
  <si>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</si>
  <si>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</si>
  <si>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</si>
  <si>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</si>
  <si>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</si>
  <si>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</si>
  <si>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</si>
  <si>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</si>
  <si>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</si>
  <si>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</si>
  <si>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</si>
  <si>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</si>
  <si>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</si>
  <si>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</si>
  <si>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</si>
  <si>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</si>
  <si>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</si>
  <si>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</si>
  <si>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</si>
  <si>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</si>
  <si>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</si>
  <si>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</si>
  <si>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</si>
  <si>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</si>
  <si>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</si>
  <si>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</si>
  <si>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</si>
  <si>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</si>
  <si>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</si>
  <si>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</si>
  <si>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</si>
  <si>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</si>
  <si>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</si>
  <si>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</si>
  <si>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</si>
  <si>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</si>
  <si>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</si>
  <si>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</si>
  <si>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</si>
  <si>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</si>
  <si>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</si>
  <si>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</si>
  <si>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</si>
  <si>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</si>
  <si>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</si>
  <si>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</si>
  <si>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</si>
  <si>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</si>
  <si>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</si>
  <si>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</si>
  <si>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</si>
  <si>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</si>
  <si>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</si>
  <si>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</si>
  <si>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</si>
  <si>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</si>
  <si>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</si>
  <si>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</si>
  <si>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</si>
  <si>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</si>
  <si>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</si>
  <si>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</si>
  <si>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</si>
  <si>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</si>
  <si>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</si>
  <si>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</si>
  <si>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</si>
  <si>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</si>
  <si>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</si>
  <si>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</si>
  <si>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</si>
  <si>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</si>
  <si>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</si>
  <si>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</si>
  <si>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</si>
  <si>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</si>
  <si>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</si>
  <si>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</si>
  <si>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</si>
  <si>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</si>
  <si>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</si>
  <si>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</si>
  <si>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</si>
  <si>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</si>
  <si>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</si>
  <si>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</si>
  <si>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</si>
  <si>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</si>
  <si>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</si>
  <si>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</si>
  <si>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</si>
  <si>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</si>
  <si>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</si>
  <si>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</si>
  <si>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</si>
  <si>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</si>
  <si>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</si>
  <si>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</si>
  <si>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</si>
  <si>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</si>
  <si>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</si>
  <si>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</si>
  <si>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</si>
  <si>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</si>
  <si>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</si>
  <si>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</si>
  <si>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</si>
  <si>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</si>
  <si>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</si>
  <si>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</si>
  <si>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</si>
  <si>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</si>
  <si>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</si>
  <si>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</si>
  <si>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</si>
  <si>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</si>
  <si>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</si>
  <si>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</si>
  <si>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</si>
  <si>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</si>
  <si>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</si>
  <si>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</si>
  <si>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</si>
  <si>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</si>
  <si>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</si>
  <si>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</si>
  <si>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</si>
  <si>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</si>
  <si>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</si>
  <si>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</si>
  <si>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</si>
  <si>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</si>
  <si>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</si>
  <si>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</si>
  <si>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</si>
  <si>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</si>
  <si>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</si>
  <si>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</si>
  <si>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</si>
  <si>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</si>
  <si>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</si>
  <si>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</si>
  <si>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</si>
  <si>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</si>
  <si>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</si>
  <si>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</si>
  <si>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</si>
  <si>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</si>
  <si>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</si>
  <si>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</si>
  <si>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</si>
  <si>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</si>
  <si>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</si>
  <si>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</si>
  <si>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</si>
  <si>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</si>
  <si>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</si>
  <si>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</si>
  <si>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</si>
  <si>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</si>
  <si>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</si>
  <si>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</si>
  <si>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</si>
  <si>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</si>
  <si>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</si>
  <si>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</si>
  <si>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</si>
  <si>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</si>
  <si>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</si>
  <si>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</si>
  <si>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</si>
  <si>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</si>
  <si>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</si>
  <si>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</si>
  <si>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</si>
  <si>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</si>
  <si>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</si>
  <si>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</si>
  <si>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</si>
  <si>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</si>
  <si>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</si>
  <si>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</si>
  <si>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</si>
  <si>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</si>
  <si>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</si>
  <si>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</si>
  <si>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</si>
  <si>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</si>
  <si>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</si>
  <si>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</si>
  <si>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</si>
  <si>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</si>
  <si>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</si>
  <si>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</si>
  <si>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</si>
  <si>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</si>
  <si>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</si>
  <si>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</si>
  <si>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</si>
  <si>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</si>
  <si>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</si>
  <si>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</si>
  <si>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</si>
  <si>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</si>
  <si>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</si>
  <si>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</si>
  <si>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</si>
  <si>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</si>
  <si>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</si>
  <si>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</si>
  <si>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</si>
  <si>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</si>
  <si>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</si>
  <si>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</si>
  <si>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</si>
  <si>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</si>
  <si>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</si>
  <si>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</si>
  <si>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</si>
  <si>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</si>
  <si>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</si>
  <si>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</si>
  <si>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</si>
  <si>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</si>
  <si>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</si>
  <si>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</si>
  <si>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</si>
  <si>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</si>
  <si>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</si>
  <si>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</si>
  <si>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</si>
  <si>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</si>
  <si>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</si>
  <si>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</si>
  <si>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</si>
  <si>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</si>
  <si>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</si>
  <si>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</si>
  <si>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</si>
  <si>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</si>
  <si>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</si>
  <si>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</si>
  <si>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</si>
  <si>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</si>
  <si>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</si>
  <si>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</si>
  <si>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</si>
  <si>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</si>
  <si>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</si>
  <si>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</si>
  <si>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</si>
  <si>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</si>
  <si>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</si>
  <si>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</si>
  <si>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</si>
  <si>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</si>
  <si>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</si>
  <si>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</si>
  <si>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</si>
  <si>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</si>
  <si>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</si>
  <si>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</si>
  <si>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</si>
  <si>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</si>
  <si>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</si>
  <si>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</si>
  <si>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</si>
  <si>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</si>
  <si>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</si>
  <si>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</si>
  <si>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</si>
  <si>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</si>
  <si>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</si>
  <si>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</si>
  <si>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</si>
  <si>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</si>
  <si>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</si>
  <si>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</si>
  <si>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</si>
  <si>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</si>
  <si>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</si>
  <si>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</si>
  <si>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</si>
  <si>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</si>
  <si>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</si>
  <si>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</si>
  <si>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</si>
  <si>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</si>
  <si>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</si>
  <si>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</si>
  <si>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</si>
  <si>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</si>
  <si>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</si>
  <si>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</si>
  <si>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</si>
  <si>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</si>
  <si>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</si>
  <si>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</si>
  <si>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</si>
  <si>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</si>
  <si>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</si>
  <si>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</si>
  <si>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</si>
  <si>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</si>
  <si>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</si>
  <si>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</si>
  <si>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</si>
  <si>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</si>
  <si>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</si>
  <si>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</si>
  <si>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</si>
  <si>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</si>
  <si>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</si>
  <si>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</si>
  <si>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</si>
  <si>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</si>
  <si>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</si>
  <si>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</si>
  <si>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</si>
  <si>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</si>
  <si>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</si>
  <si>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</si>
  <si>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</si>
  <si>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</si>
  <si>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</si>
  <si>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</si>
  <si>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</si>
  <si>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</si>
  <si>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</si>
  <si>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</si>
  <si>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</si>
  <si>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</si>
  <si>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</si>
  <si>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</si>
  <si>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</si>
  <si>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</si>
  <si>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</si>
  <si>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</si>
  <si>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</si>
  <si>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</si>
  <si>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</si>
  <si>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</si>
  <si>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</si>
  <si>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</si>
  <si>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</si>
  <si>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</si>
  <si>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</si>
  <si>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</si>
  <si>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</si>
  <si>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</si>
  <si>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</si>
  <si>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</si>
  <si>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</si>
  <si>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</si>
  <si>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</si>
  <si>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</si>
  <si>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</si>
  <si>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</si>
  <si>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</si>
  <si>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</si>
  <si>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</si>
  <si>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</si>
  <si>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</si>
  <si>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</si>
  <si>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</si>
  <si>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</si>
  <si>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</si>
  <si>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</si>
  <si>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</si>
  <si>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</si>
  <si>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</si>
  <si>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</si>
  <si>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</si>
  <si>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</si>
  <si>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</si>
  <si>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</si>
  <si>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</si>
  <si>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</si>
  <si>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</si>
  <si>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</si>
  <si>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</si>
  <si>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</si>
  <si>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</si>
  <si>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</si>
  <si>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</si>
  <si>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</si>
  <si>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</si>
  <si>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</si>
  <si>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</si>
  <si>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</si>
  <si>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</si>
  <si>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</si>
  <si>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</si>
  <si>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</si>
  <si>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</si>
  <si>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</si>
  <si>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</si>
  <si>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</si>
  <si>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</si>
  <si>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</si>
  <si>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</si>
  <si>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</si>
  <si>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</si>
  <si>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</si>
  <si>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</si>
  <si>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</si>
  <si>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</si>
  <si>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</si>
  <si>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</si>
  <si>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</si>
  <si>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</si>
  <si>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</si>
  <si>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</si>
  <si>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</si>
  <si>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</si>
  <si>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</si>
  <si>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</si>
  <si>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</si>
  <si>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</si>
  <si>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</si>
  <si>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</si>
  <si>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</si>
  <si>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</si>
  <si>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</si>
  <si>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</si>
  <si>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</si>
  <si>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</si>
  <si>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</si>
  <si>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</si>
  <si>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</si>
  <si>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</si>
  <si>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</si>
  <si>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</si>
  <si>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</si>
  <si>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</si>
  <si>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</si>
  <si>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</si>
  <si>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</si>
  <si>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</si>
  <si>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</si>
  <si>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</si>
  <si>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</si>
  <si>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</si>
  <si>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</si>
  <si>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</si>
  <si>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</si>
  <si>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</si>
  <si>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</si>
  <si>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</si>
  <si>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</si>
  <si>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</si>
  <si>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</si>
  <si>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</si>
  <si>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</si>
  <si>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</si>
  <si>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</si>
  <si>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</si>
  <si>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</si>
  <si>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</si>
  <si>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</si>
  <si>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</si>
  <si>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</si>
  <si>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</si>
  <si>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</si>
  <si>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</si>
  <si>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</si>
  <si>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</si>
  <si>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</si>
  <si>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</si>
  <si>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</si>
  <si>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</si>
  <si>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</si>
  <si>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</si>
  <si>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</si>
  <si>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</si>
  <si>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</si>
  <si>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</si>
  <si>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</si>
  <si>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</si>
  <si>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</si>
  <si>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</si>
  <si>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</si>
  <si>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</si>
  <si>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</si>
  <si>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</si>
  <si>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</si>
  <si>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</si>
  <si>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</si>
  <si>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</si>
  <si>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</si>
  <si>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</si>
  <si>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</si>
  <si>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</si>
  <si>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</si>
  <si>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</si>
  <si>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</si>
  <si>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</si>
  <si>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</si>
  <si>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</si>
  <si>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</si>
  <si>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</si>
  <si>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</si>
  <si>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</si>
  <si>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</si>
  <si>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</si>
  <si>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</si>
  <si>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</si>
  <si>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</si>
  <si>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</si>
  <si>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</si>
  <si>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</si>
  <si>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</si>
  <si>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</si>
  <si>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</si>
  <si>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</si>
  <si>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</si>
  <si>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</si>
  <si>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</si>
  <si>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</si>
  <si>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</si>
  <si>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</si>
  <si>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</si>
  <si>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</si>
  <si>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</si>
  <si>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</si>
  <si>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</si>
  <si>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</si>
  <si>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</si>
  <si>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</si>
  <si>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</si>
  <si>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</si>
  <si>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</si>
  <si>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</si>
  <si>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</si>
  <si>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</si>
  <si>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</si>
  <si>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</si>
  <si>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</si>
  <si>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</si>
  <si>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</si>
  <si>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</si>
  <si>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</si>
  <si>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</si>
  <si>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</si>
  <si>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</si>
  <si>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</si>
  <si>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</si>
  <si>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</si>
  <si>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</si>
  <si>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</si>
  <si>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</si>
  <si>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</si>
  <si>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</si>
  <si>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</si>
  <si>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</si>
  <si>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</si>
  <si>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</si>
  <si>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</si>
  <si>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</si>
  <si>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</si>
  <si>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</si>
  <si>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</si>
  <si>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</si>
  <si>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</si>
  <si>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</si>
  <si>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</si>
  <si>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</si>
  <si>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</si>
  <si>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</si>
  <si>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</si>
  <si>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</si>
  <si>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</si>
  <si>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</si>
  <si>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</si>
  <si>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</si>
  <si>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</si>
  <si>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</si>
  <si>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</si>
  <si>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</si>
  <si>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</si>
  <si>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</si>
  <si>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</si>
  <si>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</si>
  <si>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</si>
  <si>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</si>
  <si>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</si>
  <si>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</si>
  <si>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</si>
  <si>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</si>
  <si>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</si>
  <si>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</si>
  <si>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</si>
  <si>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</si>
  <si>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</si>
  <si>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</si>
  <si>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</si>
  <si>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</si>
  <si>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</si>
  <si>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</si>
  <si>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</si>
  <si>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</si>
  <si>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</si>
  <si>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</si>
  <si>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</si>
  <si>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</si>
  <si>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</si>
  <si>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</si>
  <si>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</si>
  <si>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</si>
  <si>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</si>
  <si>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</si>
  <si>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</si>
  <si>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</si>
  <si>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</si>
  <si>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</si>
  <si>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</si>
  <si>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</si>
  <si>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</si>
  <si>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</si>
  <si>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</si>
  <si>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</si>
  <si>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</si>
  <si>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</si>
  <si>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</si>
  <si>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</si>
  <si>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</si>
  <si>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</si>
  <si>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</si>
  <si>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</si>
  <si>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</si>
  <si>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</si>
  <si>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</si>
  <si>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</si>
  <si>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</si>
  <si>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</si>
  <si>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</si>
  <si>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</si>
  <si>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</si>
  <si>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</si>
  <si>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</si>
  <si>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</si>
  <si>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</si>
  <si>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</si>
  <si>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</si>
  <si>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</si>
  <si>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</si>
  <si>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</si>
  <si>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</si>
  <si>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</si>
  <si>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</si>
  <si>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</si>
  <si>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</si>
  <si>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</si>
  <si>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</si>
  <si>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</si>
  <si>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</si>
  <si>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</si>
  <si>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</si>
  <si>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</si>
  <si>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</si>
  <si>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</si>
  <si>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</si>
  <si>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</si>
  <si>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</si>
  <si>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</si>
  <si>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</si>
  <si>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</si>
  <si>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</si>
  <si>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</si>
  <si>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</si>
  <si>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</si>
  <si>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</si>
  <si>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</si>
  <si>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</si>
  <si>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</si>
  <si>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</si>
  <si>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</si>
  <si>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</si>
  <si>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</si>
  <si>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</si>
  <si>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</si>
  <si>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</si>
  <si>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</si>
  <si>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</si>
  <si>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</si>
  <si>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</si>
  <si>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</si>
  <si>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</si>
  <si>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</si>
  <si>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</si>
  <si>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</si>
  <si>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</si>
  <si>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</si>
  <si>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</si>
  <si>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</si>
  <si>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</si>
  <si>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</si>
  <si>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</si>
  <si>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</si>
  <si>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</si>
  <si>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</si>
  <si>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</si>
  <si>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</si>
  <si>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</si>
  <si>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</si>
  <si>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</si>
  <si>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</si>
  <si>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</si>
  <si>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</si>
  <si>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</si>
  <si>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</si>
  <si>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</si>
  <si>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</si>
  <si>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</si>
  <si>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</si>
  <si>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</si>
  <si>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</si>
  <si>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</si>
  <si>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</si>
  <si>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</si>
  <si>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</si>
  <si>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</si>
  <si>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</si>
  <si>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</si>
  <si>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</si>
  <si>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</si>
  <si>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</si>
  <si>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</si>
  <si>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</si>
  <si>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</si>
  <si>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</si>
  <si>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</si>
  <si>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</si>
  <si>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</si>
  <si>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</si>
  <si>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</si>
  <si>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</si>
  <si>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</si>
  <si>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</si>
  <si>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</si>
  <si>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</si>
  <si>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</si>
  <si>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</si>
  <si>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</si>
  <si>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</si>
  <si>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</si>
  <si>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</si>
  <si>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</si>
  <si>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</si>
  <si>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</si>
  <si>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</si>
  <si>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</si>
  <si>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</si>
  <si>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</si>
  <si>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</si>
  <si>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</si>
  <si>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</si>
  <si>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</si>
  <si>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</si>
  <si>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</si>
  <si>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</si>
  <si>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</si>
  <si>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</si>
  <si>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</si>
  <si>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</si>
  <si>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</si>
  <si>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</si>
  <si>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</si>
  <si>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</si>
  <si>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</si>
  <si>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</si>
  <si>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</si>
  <si>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</si>
  <si>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</si>
  <si>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</si>
  <si>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</si>
  <si>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</si>
  <si>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</si>
  <si>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</si>
  <si>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</si>
  <si>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</si>
  <si>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</si>
  <si>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</si>
  <si>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</si>
  <si>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</si>
  <si>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</si>
  <si>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</si>
  <si>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</si>
  <si>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</si>
  <si>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</si>
  <si>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</si>
  <si>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</si>
  <si>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</si>
  <si>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</si>
  <si>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</si>
  <si>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</si>
  <si>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</si>
  <si>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</si>
  <si>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</si>
  <si>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</si>
  <si>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</si>
  <si>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</si>
  <si>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</si>
  <si>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</si>
  <si>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</si>
  <si>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</si>
  <si>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</si>
  <si>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</si>
  <si>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</si>
  <si>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</si>
  <si>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</si>
  <si>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</si>
  <si>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</si>
  <si>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</si>
  <si>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</si>
  <si>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</si>
  <si>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</si>
  <si>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</si>
  <si>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</si>
  <si>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</si>
  <si>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</si>
  <si>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</si>
  <si>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</si>
  <si>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</si>
  <si>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</si>
  <si>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</si>
  <si>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</si>
  <si>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</si>
  <si>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</si>
  <si>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</si>
  <si>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</si>
  <si>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</si>
  <si>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</si>
  <si>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</si>
  <si>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</si>
  <si>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</si>
  <si>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</si>
  <si>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</si>
  <si>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</si>
  <si>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</si>
  <si>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</si>
  <si>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</si>
  <si>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</si>
  <si>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</si>
  <si>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</si>
  <si>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</si>
  <si>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</si>
  <si>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</si>
  <si>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</si>
  <si>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</si>
  <si>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</si>
  <si>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</si>
  <si>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</si>
  <si>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</si>
  <si>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</si>
  <si>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</si>
  <si>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</si>
  <si>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</si>
  <si>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</si>
  <si>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</si>
  <si>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</si>
  <si>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</si>
  <si>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</si>
  <si>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</si>
  <si>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</si>
  <si>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</si>
  <si>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</si>
  <si>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</si>
  <si>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</si>
  <si>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</si>
  <si>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</si>
  <si>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</si>
  <si>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</si>
  <si>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</si>
  <si>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</si>
  <si>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</si>
  <si>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</si>
  <si>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</si>
  <si>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</si>
  <si>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</si>
  <si>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</si>
  <si>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</si>
  <si>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</si>
  <si>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</si>
  <si>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</si>
  <si>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</si>
  <si>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</si>
  <si>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</si>
  <si>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</si>
  <si>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</si>
  <si>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</si>
  <si>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</si>
  <si>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</si>
  <si>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</si>
  <si>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</si>
  <si>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</si>
  <si>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</si>
  <si>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</si>
  <si>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</si>
  <si>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</si>
  <si>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</si>
  <si>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</si>
  <si>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</si>
  <si>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</si>
  <si>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</si>
  <si>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</si>
  <si>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</si>
  <si>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</si>
  <si>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</si>
  <si>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</si>
  <si>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</si>
  <si>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</si>
  <si>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</si>
  <si>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</si>
  <si>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</si>
  <si>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</si>
  <si>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</si>
  <si>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</si>
  <si>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</si>
  <si>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</si>
  <si>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</si>
  <si>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</si>
  <si>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</si>
  <si>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</si>
  <si>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</si>
  <si>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</si>
  <si>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</si>
  <si>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</si>
  <si>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</si>
  <si>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</si>
  <si>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</si>
  <si>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</si>
  <si>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</si>
  <si>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</si>
  <si>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</si>
  <si>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</si>
  <si>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</si>
  <si>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</si>
  <si>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</si>
  <si>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</si>
  <si>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</si>
  <si>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</si>
  <si>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</si>
  <si>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</si>
  <si>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</si>
  <si>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</si>
  <si>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</si>
  <si>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</si>
  <si>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</si>
  <si>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</si>
  <si>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</si>
  <si>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</si>
  <si>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</si>
  <si>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</si>
  <si>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</si>
  <si>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</si>
  <si>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</si>
  <si>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</si>
  <si>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</si>
  <si>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</si>
  <si>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</si>
  <si>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</si>
  <si>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</si>
  <si>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</si>
  <si>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</si>
  <si>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</si>
  <si>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</si>
  <si>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</si>
  <si>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</si>
  <si>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</si>
  <si>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</si>
  <si>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</si>
  <si>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</si>
  <si>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</si>
  <si>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</si>
  <si>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</si>
  <si>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</si>
  <si>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</si>
  <si>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</si>
  <si>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</si>
  <si>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</si>
  <si>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</si>
  <si>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</si>
  <si>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</si>
  <si>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</si>
  <si>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</si>
  <si>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</si>
  <si>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</si>
  <si>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</si>
  <si>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</si>
  <si>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</si>
  <si>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</si>
  <si>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</si>
  <si>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</si>
  <si>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</si>
  <si>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</si>
  <si>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</si>
  <si>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</si>
  <si>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</si>
  <si>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</si>
  <si>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</si>
  <si>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</si>
  <si>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</si>
  <si>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</si>
  <si>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</si>
  <si>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</si>
  <si>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</si>
  <si>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</si>
  <si>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</si>
  <si>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</si>
  <si>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</si>
  <si>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</si>
  <si>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</si>
  <si>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</si>
  <si>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</si>
  <si>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</si>
  <si>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</si>
  <si>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</si>
  <si>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</si>
  <si>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</si>
  <si>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</si>
  <si>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</si>
  <si>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</si>
  <si>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</si>
  <si>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</si>
  <si>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</si>
  <si>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</si>
  <si>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</si>
  <si>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</si>
  <si>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</si>
  <si>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</si>
  <si>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</si>
  <si>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</si>
  <si>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</si>
  <si>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</si>
  <si>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</si>
  <si>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</si>
  <si>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</si>
  <si>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</si>
  <si>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</si>
  <si>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</si>
  <si>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</si>
  <si>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</si>
  <si>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</si>
  <si>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</si>
  <si>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</si>
  <si>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</si>
  <si>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</si>
  <si>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</si>
  <si>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</si>
  <si>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</si>
  <si>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</si>
  <si>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</si>
  <si>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</si>
  <si>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</si>
  <si>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</si>
  <si>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</si>
  <si>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</si>
  <si>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</si>
  <si>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</si>
  <si>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</si>
  <si>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</si>
  <si>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</si>
  <si>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</si>
  <si>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</si>
  <si>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</si>
  <si>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</si>
  <si>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</si>
  <si>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</si>
  <si>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</si>
  <si>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</si>
  <si>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</si>
  <si>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</si>
  <si>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</si>
  <si>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</si>
  <si>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</si>
  <si>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</si>
  <si>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</si>
  <si>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</si>
  <si>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</si>
  <si>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</si>
  <si>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</si>
  <si>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</si>
  <si>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</si>
  <si>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</si>
  <si>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</si>
  <si>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</si>
  <si>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</si>
  <si>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</si>
  <si>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</si>
  <si>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</si>
  <si>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</si>
  <si>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</si>
  <si>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</si>
  <si>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</si>
  <si>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</si>
  <si>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</si>
  <si>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</si>
  <si>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</si>
  <si>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</si>
  <si>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</si>
  <si>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</si>
  <si>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</si>
  <si>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</si>
  <si>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</si>
  <si>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</si>
  <si>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</si>
  <si>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</si>
  <si>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</si>
  <si>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</si>
  <si>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</si>
  <si>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</si>
  <si>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</si>
  <si>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</si>
  <si>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</si>
  <si>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</si>
  <si>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</si>
  <si>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</si>
  <si>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</si>
  <si>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</si>
  <si>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</si>
  <si>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</si>
  <si>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</si>
  <si>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</si>
  <si>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</si>
  <si>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</si>
  <si>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</si>
  <si>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</si>
  <si>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</si>
  <si>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</si>
  <si>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</si>
  <si>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</si>
  <si>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</si>
  <si>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</si>
  <si>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</si>
  <si>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</si>
  <si>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</si>
  <si>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</si>
  <si>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</si>
  <si>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</si>
  <si>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</si>
  <si>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</si>
  <si>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</si>
  <si>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</si>
  <si>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</si>
  <si>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</si>
  <si>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</si>
  <si>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</si>
  <si>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</si>
  <si>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</si>
  <si>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</si>
  <si>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</si>
  <si>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</si>
  <si>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</si>
  <si>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</si>
  <si>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</si>
  <si>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</si>
  <si>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</si>
  <si>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</si>
  <si>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</si>
  <si>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</si>
  <si>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</si>
  <si>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</si>
  <si>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</si>
  <si>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</si>
  <si>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</si>
  <si>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</si>
  <si>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</si>
  <si>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</si>
  <si>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</si>
  <si>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</si>
  <si>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</si>
  <si>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</si>
  <si>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</si>
  <si>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</si>
  <si>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</si>
  <si>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</si>
  <si>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</si>
  <si>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</si>
  <si>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</si>
  <si>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</si>
  <si>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</si>
  <si>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</si>
  <si>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</si>
  <si>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</si>
  <si>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</si>
  <si>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</si>
  <si>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</si>
  <si>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</si>
  <si>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</si>
  <si>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</si>
  <si>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</si>
  <si>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</si>
  <si>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</si>
  <si>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</si>
  <si>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</si>
  <si>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</si>
  <si>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</si>
  <si>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</si>
  <si>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</si>
  <si>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</si>
  <si>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</si>
  <si>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</si>
  <si>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</si>
  <si>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</si>
  <si>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</si>
  <si>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</si>
  <si>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</si>
  <si>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</si>
  <si>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</si>
  <si>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</si>
  <si>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</si>
  <si>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</si>
  <si>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</si>
  <si>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</si>
  <si>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</si>
  <si>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</si>
  <si>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</si>
  <si>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</si>
  <si>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</si>
  <si>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</si>
  <si>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</si>
  <si>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</si>
  <si>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</si>
  <si>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</si>
  <si>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</si>
  <si>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</si>
  <si>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</si>
  <si>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</si>
  <si>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</si>
  <si>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</si>
  <si>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</si>
  <si>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</si>
  <si>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</si>
  <si>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</si>
  <si>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</si>
  <si>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</si>
  <si>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</si>
  <si>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</si>
  <si>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</si>
  <si>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</si>
  <si>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</si>
  <si>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</si>
  <si>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</si>
  <si>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</si>
  <si>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</si>
  <si>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</si>
  <si>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</si>
  <si>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</si>
  <si>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</si>
  <si>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</si>
  <si>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</si>
  <si>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</si>
  <si>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</si>
  <si>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</si>
  <si>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</si>
  <si>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</si>
  <si>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</si>
  <si>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</si>
  <si>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</si>
  <si>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</si>
  <si>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</si>
  <si>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</si>
  <si>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</si>
  <si>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</si>
  <si>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</si>
  <si>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</si>
  <si>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</si>
  <si>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</si>
  <si>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</si>
  <si>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</si>
  <si>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</si>
  <si>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</si>
  <si>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</si>
  <si>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</si>
  <si>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</si>
  <si>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</si>
  <si>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</si>
  <si>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</si>
  <si>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</si>
  <si>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</si>
  <si>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</si>
  <si>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</si>
  <si>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</si>
  <si>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</si>
  <si>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</si>
  <si>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</si>
  <si>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</si>
  <si>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</si>
  <si>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</si>
  <si>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</si>
  <si>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</si>
  <si>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</si>
  <si>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</si>
  <si>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</si>
  <si>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</si>
  <si>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</si>
  <si>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</si>
  <si>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</si>
  <si>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</si>
  <si>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</si>
  <si>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</si>
  <si>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</si>
  <si>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</si>
  <si>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</si>
  <si>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</si>
  <si>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</si>
  <si>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</si>
  <si>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</si>
  <si>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</si>
  <si>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</si>
  <si>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</si>
  <si>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</si>
  <si>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</si>
  <si>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</si>
  <si>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</si>
  <si>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</si>
  <si>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</si>
  <si>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</si>
  <si>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</si>
  <si>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</si>
  <si>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</si>
  <si>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</si>
  <si>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</si>
  <si>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</si>
  <si>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</si>
  <si>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</si>
  <si>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</si>
  <si>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</si>
  <si>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</si>
  <si>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</si>
  <si>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</si>
  <si>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</si>
  <si>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</si>
  <si>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</si>
  <si>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</si>
  <si>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</si>
  <si>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</si>
  <si>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</si>
  <si>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</si>
  <si>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</si>
  <si>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</si>
  <si>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</si>
  <si>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</si>
  <si>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</si>
  <si>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</si>
  <si>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</si>
  <si>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</si>
  <si>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</si>
  <si>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</si>
  <si>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</si>
  <si>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</si>
  <si>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</si>
  <si>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</si>
  <si>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</si>
  <si>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</si>
  <si>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</si>
  <si>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</si>
  <si>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</si>
  <si>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</si>
  <si>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</si>
  <si>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</si>
  <si>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</si>
  <si>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</si>
  <si>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</si>
  <si>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</si>
  <si>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</si>
  <si>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</si>
  <si>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</si>
  <si>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</si>
  <si>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</si>
  <si>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</si>
  <si>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</si>
  <si>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</si>
  <si>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</si>
  <si>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</si>
  <si>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</si>
  <si>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</si>
  <si>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</si>
  <si>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</si>
  <si>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</si>
  <si>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</si>
  <si>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</si>
  <si>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</si>
  <si>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</si>
  <si>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</si>
  <si>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</si>
  <si>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</si>
  <si>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</si>
  <si>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</si>
  <si>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</si>
  <si>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</si>
  <si>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</si>
  <si>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</si>
  <si>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</si>
  <si>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</si>
  <si>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</si>
  <si>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</si>
  <si>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</si>
  <si>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</si>
  <si>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</si>
  <si>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</si>
  <si>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</si>
  <si>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</si>
  <si>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</si>
  <si>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</si>
  <si>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</si>
  <si>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</si>
  <si>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</si>
  <si>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</si>
  <si>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</si>
  <si>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</si>
  <si>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</si>
  <si>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</si>
  <si>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</si>
  <si>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</si>
  <si>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</si>
  <si>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</si>
  <si>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</si>
  <si>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</si>
  <si>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</si>
  <si>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</si>
  <si>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</si>
  <si>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</si>
  <si>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</si>
  <si>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</si>
  <si>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</si>
  <si>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</si>
  <si>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</si>
  <si>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</si>
  <si>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</si>
  <si>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</si>
  <si>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</si>
  <si>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</si>
  <si>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</si>
  <si>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</si>
  <si>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</si>
  <si>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</si>
  <si>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</si>
  <si>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</si>
  <si>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</si>
  <si>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</si>
  <si>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</si>
  <si>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</si>
  <si>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</si>
  <si>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</si>
  <si>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</si>
  <si>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</si>
  <si>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</si>
  <si>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</si>
  <si>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</si>
  <si>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</si>
  <si>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</si>
  <si>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</si>
  <si>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</si>
  <si>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</si>
  <si>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</si>
  <si>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</si>
  <si>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</si>
  <si>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</si>
  <si>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</si>
  <si>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</si>
  <si>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</si>
  <si>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</si>
  <si>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</si>
  <si>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</si>
  <si>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</si>
  <si>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</si>
  <si>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</si>
  <si>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</si>
  <si>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</si>
  <si>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</si>
  <si>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</si>
  <si>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</si>
  <si>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</si>
  <si>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</si>
  <si>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</si>
  <si>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</si>
  <si>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</si>
  <si>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</si>
  <si>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</si>
  <si>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</si>
  <si>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</si>
  <si>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</si>
  <si>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</si>
  <si>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</si>
  <si>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</si>
  <si>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</si>
  <si>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</si>
  <si>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</si>
  <si>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</si>
  <si>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</si>
  <si>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</si>
  <si>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</si>
  <si>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</si>
  <si>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</si>
  <si>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</si>
  <si>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</si>
  <si>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</si>
  <si>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</si>
  <si>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</si>
  <si>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</si>
  <si>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</si>
  <si>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</si>
  <si>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</si>
  <si>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</si>
  <si>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</si>
  <si>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</si>
  <si>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</si>
  <si>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</si>
  <si>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</si>
  <si>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</si>
  <si>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</si>
  <si>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</si>
  <si>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</si>
  <si>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</si>
  <si>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</si>
  <si>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</si>
  <si>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</si>
  <si>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</si>
  <si>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</si>
  <si>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</si>
  <si>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</si>
  <si>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</si>
  <si>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</si>
  <si>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</si>
  <si>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</si>
  <si>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</si>
  <si>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</si>
  <si>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</si>
  <si>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</si>
  <si>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</si>
  <si>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</si>
  <si>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</si>
  <si>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</si>
  <si>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</si>
  <si>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</si>
  <si>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</si>
  <si>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</si>
  <si>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</si>
  <si>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</si>
  <si>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</si>
  <si>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</si>
  <si>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</si>
  <si>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</si>
  <si>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</si>
  <si>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</si>
  <si>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</si>
  <si>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</si>
  <si>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</si>
  <si>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</si>
  <si>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</si>
  <si>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</si>
  <si>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</si>
  <si>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</si>
  <si>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</si>
  <si>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</si>
  <si>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</si>
  <si>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</si>
  <si>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</si>
  <si>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</si>
  <si>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</si>
  <si>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</si>
  <si>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</si>
  <si>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</si>
  <si>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</si>
  <si>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</si>
  <si>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</si>
  <si>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</si>
  <si>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</si>
  <si>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</si>
  <si>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</si>
  <si>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</si>
  <si>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</si>
  <si>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</si>
  <si>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</si>
  <si>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</si>
  <si>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</si>
  <si>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</si>
  <si>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</si>
  <si>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</si>
  <si>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</si>
  <si>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</si>
  <si>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</si>
  <si>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</si>
  <si>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</si>
  <si>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</si>
  <si>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</si>
  <si>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</si>
  <si>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</si>
  <si>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</si>
  <si>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</si>
  <si>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</si>
  <si>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</si>
  <si>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</si>
  <si>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</si>
  <si>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</si>
  <si>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</si>
  <si>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</si>
  <si>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</si>
  <si>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</si>
  <si>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</si>
  <si>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</si>
  <si>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</si>
  <si>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</si>
  <si>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</si>
  <si>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</si>
  <si>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</si>
  <si>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</si>
  <si>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</si>
  <si>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</si>
  <si>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</si>
  <si>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</si>
  <si>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</si>
  <si>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</si>
  <si>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</si>
  <si>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</si>
  <si>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</si>
  <si>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</si>
  <si>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</si>
  <si>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</si>
  <si>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</si>
  <si>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</si>
  <si>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</si>
  <si>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</si>
  <si>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</si>
  <si>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</si>
  <si>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</si>
  <si>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</si>
  <si>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</si>
  <si>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</si>
  <si>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</si>
  <si>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</si>
  <si>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</si>
  <si>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</si>
  <si>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</si>
  <si>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</si>
  <si>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</si>
  <si>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</si>
  <si>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</si>
  <si>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</si>
  <si>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</si>
  <si>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</si>
  <si>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</si>
  <si>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</si>
  <si>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</si>
  <si>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</si>
  <si>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</si>
  <si>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</si>
  <si>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</si>
  <si>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</si>
  <si>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</si>
  <si>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</si>
  <si>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</si>
  <si>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</si>
  <si>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</si>
  <si>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</si>
  <si>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</si>
  <si>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</si>
  <si>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</si>
  <si>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</si>
  <si>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</si>
  <si>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</si>
  <si>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</si>
  <si>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</si>
  <si>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</si>
  <si>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</si>
  <si>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</si>
  <si>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</si>
  <si>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</si>
  <si>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</si>
  <si>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</si>
  <si>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</si>
  <si>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</si>
  <si>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</si>
  <si>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</si>
  <si>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</si>
  <si>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</si>
  <si>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</si>
  <si>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</si>
  <si>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</si>
  <si>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</si>
  <si>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</si>
  <si>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</si>
  <si>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</si>
  <si>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</si>
  <si>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</si>
  <si>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</si>
  <si>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</si>
  <si>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</si>
  <si>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</si>
  <si>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</si>
  <si>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</si>
  <si>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</si>
  <si>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</si>
  <si>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</si>
  <si>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</si>
  <si>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</si>
  <si>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</si>
  <si>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</si>
  <si>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</si>
  <si>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</si>
  <si>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</si>
  <si>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</si>
  <si>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</si>
  <si>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</si>
  <si>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</si>
  <si>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</si>
  <si>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</si>
  <si>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</si>
  <si>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</si>
  <si>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</si>
  <si>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</si>
  <si>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</si>
  <si>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</si>
  <si>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</si>
  <si>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</si>
  <si>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</si>
  <si>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</si>
  <si>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</si>
  <si>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</si>
  <si>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</si>
  <si>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</si>
  <si>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</si>
  <si>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</si>
  <si>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</si>
  <si>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</si>
  <si>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</si>
  <si>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</si>
  <si>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</si>
  <si>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</si>
  <si>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</si>
  <si>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</si>
  <si>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</si>
  <si>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</si>
  <si>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</si>
  <si>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</si>
  <si>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</si>
  <si>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</si>
  <si>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</si>
  <si>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</si>
  <si>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</si>
  <si>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</si>
  <si>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</si>
  <si>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</si>
  <si>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</si>
  <si>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</si>
  <si>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</si>
  <si>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</si>
  <si>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</si>
  <si>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</si>
  <si>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</si>
  <si>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</si>
  <si>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</si>
  <si>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</si>
  <si>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</si>
  <si>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</si>
  <si>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</si>
  <si>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</si>
  <si>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</si>
  <si>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</si>
  <si>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</si>
  <si>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</si>
  <si>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</si>
  <si>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</si>
  <si>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</si>
  <si>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</si>
  <si>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</si>
  <si>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</si>
  <si>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</si>
  <si>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</si>
  <si>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</si>
  <si>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</si>
  <si>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</si>
  <si>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</si>
  <si>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</si>
  <si>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</si>
  <si>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</si>
  <si>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</si>
  <si>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</si>
  <si>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</si>
  <si>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</si>
  <si>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</si>
  <si>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</si>
  <si>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</si>
  <si>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</si>
  <si>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</si>
  <si>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</si>
  <si>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</si>
  <si>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</si>
  <si>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</si>
  <si>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</si>
  <si>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</si>
  <si>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</si>
  <si>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</si>
  <si>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</si>
  <si>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</si>
  <si>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</si>
  <si>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</si>
  <si>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</si>
  <si>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</si>
  <si>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</si>
  <si>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</si>
  <si>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</si>
  <si>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</si>
  <si>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</si>
  <si>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</si>
  <si>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</si>
  <si>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</si>
  <si>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</si>
  <si>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</si>
  <si>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</si>
  <si>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</si>
  <si>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</si>
  <si>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</si>
  <si>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</si>
  <si>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</si>
  <si>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</si>
  <si>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</si>
  <si>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</si>
  <si>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</si>
  <si>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</si>
  <si>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</si>
  <si>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</si>
  <si>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</si>
  <si>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</si>
  <si>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</si>
  <si>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</si>
  <si>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</si>
  <si>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</si>
  <si>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</si>
  <si>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</si>
  <si>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</si>
  <si>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</si>
  <si>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</si>
  <si>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</si>
  <si>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</si>
  <si>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</si>
  <si>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</si>
  <si>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</si>
  <si>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</si>
  <si>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</si>
  <si>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</si>
  <si>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</si>
  <si>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</si>
  <si>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</si>
  <si>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</si>
  <si>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</si>
  <si>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</si>
  <si>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</si>
  <si>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</si>
  <si>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</si>
  <si>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</si>
  <si>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</si>
  <si>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</si>
  <si>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</si>
  <si>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</si>
  <si>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</si>
  <si>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</si>
  <si>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</si>
  <si>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</si>
  <si>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</si>
  <si>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</si>
  <si>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</si>
  <si>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</si>
  <si>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</si>
  <si>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</si>
  <si>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</si>
  <si>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</si>
  <si>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</si>
  <si>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</si>
  <si>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</si>
  <si>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</si>
  <si>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</si>
  <si>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</si>
  <si>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</si>
  <si>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</si>
  <si>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</si>
  <si>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</si>
  <si>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</si>
  <si>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</si>
  <si>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</si>
  <si>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</si>
  <si>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</si>
  <si>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</si>
  <si>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</si>
  <si>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</si>
  <si>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</si>
  <si>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</si>
  <si>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</si>
  <si>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</si>
  <si>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</si>
  <si>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</si>
  <si>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</si>
  <si>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</si>
  <si>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</si>
  <si>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</si>
  <si>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</si>
  <si>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</si>
  <si>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</si>
  <si>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</si>
  <si>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</si>
  <si>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</si>
  <si>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</si>
  <si>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</si>
  <si>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</si>
  <si>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</si>
  <si>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</si>
  <si>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</si>
  <si>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</si>
  <si>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</si>
  <si>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</si>
  <si>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</si>
  <si>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</si>
  <si>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</si>
  <si>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</si>
  <si>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</si>
  <si>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</si>
  <si>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</si>
  <si>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</si>
  <si>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</si>
  <si>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</si>
  <si>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</si>
  <si>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</si>
  <si>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</si>
  <si>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</si>
  <si>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</si>
  <si>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</si>
  <si>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</si>
  <si>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</si>
  <si>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</si>
  <si>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</si>
  <si>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</si>
  <si>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</si>
  <si>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</si>
  <si>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</si>
  <si>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</si>
  <si>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</si>
  <si>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</si>
  <si>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</si>
  <si>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</si>
  <si>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</si>
  <si>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</si>
  <si>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</si>
  <si>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</si>
  <si>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</si>
  <si>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</si>
  <si>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</si>
  <si>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</si>
  <si>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</si>
  <si>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</si>
  <si>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</si>
  <si>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</si>
  <si>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</si>
  <si>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</si>
  <si>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</si>
  <si>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</si>
  <si>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</si>
  <si>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</si>
  <si>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</si>
  <si>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</si>
  <si>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</si>
  <si>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</si>
  <si>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</si>
  <si>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</si>
  <si>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</si>
  <si>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</si>
  <si>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</si>
  <si>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</si>
  <si>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</si>
  <si>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</si>
  <si>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</si>
  <si>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</si>
  <si>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</si>
  <si>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</si>
  <si>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</si>
  <si>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</si>
  <si>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</si>
  <si>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</si>
  <si>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</si>
  <si>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</si>
  <si>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</si>
  <si>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</si>
  <si>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</si>
  <si>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</si>
  <si>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</si>
  <si>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</si>
  <si>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</si>
  <si>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</si>
  <si>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</si>
  <si>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</si>
  <si>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</si>
  <si>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</si>
  <si>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</si>
  <si>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</si>
  <si>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</si>
  <si>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</si>
  <si>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</si>
  <si>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</si>
  <si>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</si>
  <si>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</si>
  <si>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</si>
  <si>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</si>
  <si>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</si>
  <si>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</si>
  <si>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</si>
  <si>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</si>
  <si>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</si>
  <si>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</si>
  <si>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</si>
  <si>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</si>
  <si>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</si>
  <si>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</si>
  <si>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</si>
  <si>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</si>
  <si>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</si>
  <si>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</si>
  <si>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</si>
  <si>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</si>
  <si>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</si>
  <si>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</si>
  <si>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</si>
  <si>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</si>
  <si>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</si>
  <si>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</si>
  <si>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</si>
  <si>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</si>
  <si>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</si>
  <si>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</si>
  <si>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</si>
  <si>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</si>
  <si>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</si>
  <si>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</si>
  <si>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</si>
  <si>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</si>
  <si>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</si>
  <si>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</si>
  <si>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</si>
  <si>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</si>
  <si>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</si>
  <si>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</si>
  <si>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</si>
  <si>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</si>
  <si>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</si>
  <si>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</si>
  <si>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</si>
  <si>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</si>
  <si>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</si>
  <si>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</si>
  <si>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</si>
  <si>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</si>
  <si>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</si>
  <si>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</si>
  <si>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</si>
  <si>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</si>
  <si>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</si>
  <si>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</si>
  <si>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</si>
  <si>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</si>
  <si>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</si>
  <si>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</si>
  <si>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</si>
  <si>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</si>
  <si>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</si>
  <si>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</si>
  <si>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</si>
  <si>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</si>
  <si>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</si>
  <si>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</si>
  <si>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</si>
  <si>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</si>
  <si>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</si>
  <si>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</si>
  <si>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</si>
  <si>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</si>
  <si>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</si>
  <si>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</si>
  <si>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</si>
  <si>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</si>
  <si>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</si>
  <si>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</si>
  <si>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</si>
  <si>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</si>
  <si>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</si>
  <si>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</si>
  <si>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</si>
  <si>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</si>
  <si>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</si>
  <si>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</si>
  <si>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</si>
  <si>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</si>
  <si>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</si>
  <si>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</si>
  <si>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</si>
  <si>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</si>
  <si>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</si>
  <si>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</si>
  <si>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</si>
  <si>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</si>
  <si>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</si>
  <si>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</si>
  <si>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</si>
  <si>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</si>
  <si>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</si>
  <si>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</si>
  <si>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</si>
  <si>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</si>
  <si>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</si>
  <si>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</si>
  <si>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</si>
  <si>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</si>
  <si>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</si>
  <si>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</si>
  <si>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</si>
  <si>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</si>
  <si>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</si>
  <si>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</si>
  <si>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</si>
  <si>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</si>
  <si>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</si>
  <si>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</si>
  <si>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</si>
  <si>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</si>
  <si>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</si>
  <si>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</si>
  <si>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</si>
  <si>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</si>
  <si>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</si>
  <si>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</si>
  <si>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</si>
  <si>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</si>
  <si>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</si>
  <si>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</si>
  <si>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</si>
  <si>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</si>
  <si>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</si>
  <si>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</si>
  <si>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</si>
  <si>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</si>
  <si>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</si>
  <si>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</si>
  <si>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</si>
  <si>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</si>
  <si>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</si>
  <si>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</si>
  <si>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</si>
  <si>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</si>
  <si>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</si>
  <si>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</si>
  <si>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</si>
  <si>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</si>
  <si>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</si>
  <si>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</si>
  <si>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</si>
  <si>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</si>
  <si>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</si>
  <si>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</si>
  <si>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</si>
  <si>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</si>
  <si>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</si>
  <si>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</si>
  <si>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</si>
  <si>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</si>
  <si>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</si>
  <si>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</si>
  <si>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</si>
  <si>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</si>
  <si>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</si>
  <si>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</si>
  <si>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</si>
  <si>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</si>
  <si>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</si>
  <si>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</si>
  <si>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</si>
  <si>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</si>
  <si>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</si>
  <si>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</si>
  <si>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</si>
  <si>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</si>
  <si>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</si>
  <si>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</si>
  <si>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</si>
  <si>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</si>
  <si>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</si>
  <si>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</si>
  <si>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</si>
  <si>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</si>
  <si>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</si>
  <si>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</si>
  <si>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</si>
  <si>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</si>
  <si>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</si>
  <si>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</si>
  <si>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</si>
  <si>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</si>
  <si>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</si>
  <si>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</si>
  <si>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</si>
  <si>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</si>
  <si>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</si>
  <si>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</si>
  <si>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</si>
  <si>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</si>
  <si>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</si>
  <si>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</si>
  <si>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</si>
  <si>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</si>
  <si>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</si>
  <si>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</si>
  <si>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</si>
  <si>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</si>
  <si>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</si>
  <si>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</si>
  <si>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</si>
  <si>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</si>
  <si>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</si>
  <si>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</si>
  <si>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</si>
  <si>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</si>
  <si>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</si>
  <si>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</si>
  <si>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</si>
  <si>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</si>
  <si>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</si>
  <si>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</si>
  <si>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</si>
  <si>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</si>
  <si>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</si>
  <si>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</si>
  <si>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</si>
  <si>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</si>
  <si>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</si>
  <si>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</si>
  <si>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</si>
  <si>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</si>
  <si>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</si>
  <si>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</si>
  <si>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</si>
  <si>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</si>
  <si>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</si>
  <si>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</si>
  <si>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</si>
  <si>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</si>
  <si>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</si>
  <si>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</si>
  <si>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</si>
  <si>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</si>
  <si>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</si>
  <si>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</si>
  <si>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</si>
  <si>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</si>
  <si>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</si>
  <si>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</si>
  <si>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</si>
  <si>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</si>
  <si>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</si>
  <si>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</si>
  <si>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</si>
  <si>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</si>
  <si>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</si>
  <si>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</si>
  <si>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</si>
  <si>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</si>
  <si>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</si>
  <si>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</si>
  <si>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</si>
  <si>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</si>
  <si>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</si>
  <si>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</si>
  <si>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</si>
  <si>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</si>
  <si>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</si>
  <si>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</si>
  <si>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</si>
  <si>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</si>
  <si>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</si>
  <si>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</si>
  <si>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</si>
  <si>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</si>
  <si>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</si>
  <si>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</si>
  <si>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</si>
  <si>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</si>
  <si>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</si>
  <si>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</si>
  <si>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</si>
  <si>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</si>
  <si>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</si>
  <si>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</si>
  <si>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</si>
  <si>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</si>
  <si>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</si>
  <si>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</si>
  <si>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</si>
  <si>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</si>
  <si>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</si>
  <si>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</si>
  <si>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</si>
  <si>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</si>
  <si>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</si>
  <si>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</si>
  <si>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</si>
  <si>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</si>
  <si>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</si>
  <si>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</si>
  <si>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</si>
  <si>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</si>
  <si>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</si>
  <si>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</si>
  <si>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</si>
  <si>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</si>
  <si>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</si>
  <si>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</si>
  <si>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</si>
  <si>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</si>
  <si>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</si>
  <si>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</si>
  <si>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</si>
  <si>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</si>
  <si>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</si>
  <si>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</si>
  <si>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</si>
  <si>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</si>
  <si>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</si>
  <si>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</si>
  <si>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</si>
  <si>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</si>
  <si>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</si>
  <si>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</si>
  <si>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</si>
  <si>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</si>
  <si>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</si>
  <si>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</si>
  <si>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</si>
  <si>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</si>
  <si>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</si>
  <si>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</si>
  <si>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</si>
  <si>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</si>
  <si>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</si>
  <si>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</si>
  <si>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</si>
  <si>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</si>
  <si>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</si>
  <si>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</si>
  <si>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</si>
  <si>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</si>
  <si>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</si>
  <si>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</si>
  <si>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</si>
  <si>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</si>
  <si>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</si>
  <si>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</si>
  <si>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</si>
  <si>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</si>
  <si>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</si>
  <si>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</si>
  <si>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</si>
  <si>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</si>
  <si>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</si>
  <si>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</si>
  <si>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</si>
  <si>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</si>
  <si>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</si>
  <si>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</si>
  <si>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</si>
  <si>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</si>
  <si>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</si>
  <si>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</si>
  <si>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</si>
  <si>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</si>
  <si>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</si>
  <si>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</si>
  <si>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</si>
  <si>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</si>
  <si>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</si>
  <si>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</si>
  <si>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</si>
  <si>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</si>
  <si>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</si>
  <si>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</si>
  <si>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</si>
  <si>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</si>
  <si>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</si>
  <si>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</si>
  <si>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</si>
  <si>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</si>
  <si>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</si>
  <si>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</si>
  <si>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</si>
  <si>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</si>
  <si>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</si>
  <si>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</si>
  <si>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</si>
  <si>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</si>
  <si>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</si>
  <si>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</si>
  <si>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</si>
  <si>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</si>
  <si>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</si>
  <si>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</si>
  <si>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</si>
  <si>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</si>
  <si>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</si>
  <si>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</si>
  <si>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</si>
  <si>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</si>
  <si>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</si>
  <si>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</si>
  <si>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</si>
  <si>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</si>
  <si>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</si>
  <si>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</si>
  <si>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</si>
  <si>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</si>
  <si>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</si>
  <si>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</si>
  <si>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</si>
  <si>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</si>
  <si>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</si>
  <si>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</si>
  <si>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</si>
  <si>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</si>
  <si>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</si>
  <si>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</si>
  <si>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</si>
  <si>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</si>
  <si>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</si>
  <si>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</si>
  <si>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</si>
  <si>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</si>
  <si>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</si>
  <si>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</si>
  <si>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</si>
  <si>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</si>
  <si>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</si>
  <si>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</si>
  <si>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</si>
  <si>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</si>
  <si>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</si>
  <si>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</si>
  <si>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</si>
  <si>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</si>
  <si>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</si>
  <si>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</si>
  <si>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</si>
  <si>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</si>
  <si>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</si>
  <si>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</si>
  <si>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</si>
  <si>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</si>
  <si>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</si>
  <si>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</si>
  <si>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</si>
  <si>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</si>
  <si>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</si>
  <si>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</si>
  <si>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</si>
  <si>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</si>
  <si>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</si>
  <si>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</si>
  <si>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</si>
  <si>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</si>
  <si>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</si>
  <si>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</si>
  <si>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</si>
  <si>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</si>
  <si>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</si>
  <si>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</si>
  <si>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</si>
  <si>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</si>
  <si>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</si>
  <si>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</si>
  <si>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</si>
  <si>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</si>
  <si>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</si>
  <si>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</si>
  <si>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</si>
  <si>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</si>
  <si>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</si>
  <si>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</si>
  <si>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</si>
  <si>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</si>
  <si>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</si>
  <si>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</si>
  <si>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</si>
  <si>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</si>
  <si>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</si>
  <si>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</si>
  <si>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</si>
  <si>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</si>
  <si>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</si>
  <si>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</si>
  <si>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</si>
  <si>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</si>
  <si>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</si>
  <si>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</si>
  <si>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</si>
  <si>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</si>
  <si>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</si>
  <si>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</si>
  <si>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</si>
  <si>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</si>
  <si>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</si>
  <si>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</si>
  <si>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</si>
  <si>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</si>
  <si>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</si>
  <si>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</si>
  <si>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</si>
  <si>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</si>
  <si>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</si>
  <si>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</si>
  <si>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</si>
  <si>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</si>
  <si>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</si>
  <si>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</si>
  <si>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</si>
  <si>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</si>
  <si>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</si>
  <si>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</si>
  <si>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</si>
  <si>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</si>
  <si>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</si>
  <si>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</si>
  <si>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</si>
  <si>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</si>
  <si>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</si>
  <si>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</si>
  <si>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</si>
  <si>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</si>
  <si>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</si>
  <si>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</si>
  <si>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</si>
  <si>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</si>
  <si>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</si>
  <si>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</si>
  <si>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</si>
  <si>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</si>
  <si>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</si>
  <si>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</si>
  <si>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</si>
  <si>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</si>
  <si>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</si>
  <si>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</si>
  <si>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</si>
  <si>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</si>
  <si>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</si>
  <si>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</si>
  <si>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</si>
  <si>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</si>
  <si>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</si>
  <si>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</si>
  <si>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</si>
  <si>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</si>
  <si>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</si>
  <si>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</si>
  <si>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</si>
  <si>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</si>
  <si>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</si>
  <si>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</si>
  <si>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</si>
  <si>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</si>
  <si>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</si>
  <si>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</si>
  <si>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</si>
  <si>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</si>
  <si>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</si>
  <si>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</si>
  <si>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</si>
  <si>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</si>
  <si>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</si>
  <si>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</si>
  <si>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</si>
  <si>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</si>
  <si>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</si>
  <si>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</si>
  <si>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</si>
  <si>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</si>
  <si>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</si>
  <si>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</si>
  <si>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</si>
  <si>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</si>
  <si>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</si>
  <si>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</si>
  <si>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</si>
  <si>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</si>
  <si>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</si>
  <si>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</si>
  <si>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</si>
  <si>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</si>
  <si>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</si>
  <si>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</si>
  <si>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</si>
  <si>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</si>
  <si>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</si>
  <si>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</si>
  <si>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</si>
  <si>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</si>
  <si>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</si>
  <si>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</si>
  <si>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</si>
  <si>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</si>
  <si>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</si>
  <si>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</si>
  <si>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</si>
  <si>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</si>
  <si>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</si>
  <si>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</t>
    </r>
    <r>
      <rPr>
        <b/>
        <sz val="14"/>
        <color rgb="FF00B0F0"/>
        <rFont val="Calibri"/>
        <family val="2"/>
        <scheme val="minor"/>
      </rPr>
      <t>cpf sites</t>
    </r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</si>
  <si>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</si>
  <si>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</si>
  <si>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</si>
  <si>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</si>
  <si>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</si>
  <si>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</si>
  <si>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</si>
  <si>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</si>
  <si>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</si>
  <si>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</si>
  <si>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</si>
  <si>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</si>
  <si>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</si>
  <si>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</si>
  <si>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</si>
  <si>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</si>
  <si>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</si>
  <si>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</si>
  <si>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Saizeriya28Apr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</si>
  <si>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</si>
  <si>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</si>
  <si>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</si>
  <si>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</si>
  <si>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</si>
  <si>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</si>
  <si>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</si>
  <si>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</si>
  <si>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</si>
  <si>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</si>
  <si>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</si>
  <si>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</si>
  <si>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</si>
  <si>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</si>
  <si>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</si>
  <si>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</si>
  <si>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EGA base int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</si>
  <si>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</si>
  <si>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</si>
  <si>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</si>
  <si>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</si>
  <si>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</si>
  <si>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</si>
  <si>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</si>
  <si>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</si>
  <si>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</si>
  <si>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</si>
  <si>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</si>
  <si>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</si>
  <si>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</si>
  <si>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</si>
  <si>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Jan bonus ===</t>
  </si>
  <si>
    <t>Mar bonus ===</t>
  </si>
  <si>
    <t>Feb bonus ===</t>
  </si>
  <si>
    <t>foods</t>
  </si>
  <si>
    <t>suspended us`SSP</t>
  </si>
  <si>
    <t>boy camp`</t>
  </si>
  <si>
    <t>boy NRIC</t>
  </si>
  <si>
    <t>MRT#MB16May</t>
  </si>
  <si>
    <t>NikeIMM20+25May</t>
  </si>
  <si>
    <t>2k int accrued up to 2022</t>
  </si>
  <si>
    <t>xfer2wife #int up to 2022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</si>
  <si>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</si>
  <si>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</si>
  <si>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</si>
  <si>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</si>
  <si>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</si>
  <si>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</si>
  <si>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</si>
  <si>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</si>
  <si>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</si>
  <si>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</si>
  <si>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</si>
  <si>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</si>
  <si>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</si>
  <si>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Andes@IMM#20/5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</si>
  <si>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</si>
  <si>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</si>
  <si>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</si>
  <si>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</si>
  <si>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</si>
  <si>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</si>
  <si>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</si>
  <si>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</si>
  <si>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saizeriya</t>
  </si>
  <si>
    <t>night market food</t>
  </si>
  <si>
    <t>Watson's</t>
  </si>
  <si>
    <t>Cmlink #MB#SOM</t>
  </si>
  <si>
    <t>ATM till 4 Jun</t>
  </si>
  <si>
    <t>HsbcStepUp</t>
  </si>
  <si>
    <t>Cigna unkonwn</t>
  </si>
  <si>
    <t>rmb144</t>
  </si>
  <si>
    <t>rmb44.58</t>
  </si>
  <si>
    <t>rmb101 JapMeal</t>
  </si>
  <si>
    <t>cpf&gt;OC</t>
  </si>
  <si>
    <t>rmbXXX HSBC</t>
  </si>
  <si>
    <t>^10/6 AlipayDBS</t>
  </si>
  <si>
    <t>LG wait till late Jun</t>
  </si>
  <si>
    <t>rmbXXX DBS</t>
  </si>
  <si>
    <t>Y02 handset</t>
  </si>
  <si>
    <t>rmb109# trotter</t>
  </si>
  <si>
    <t>dear wife v v</t>
  </si>
  <si>
    <t>nightMarket food</t>
  </si>
  <si>
    <t>EOD xxx Jul 2023</t>
  </si>
  <si>
    <t xml:space="preserve">ATM till 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</si>
  <si>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</si>
  <si>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</si>
  <si>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</si>
  <si>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</si>
  <si>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</si>
  <si>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</si>
  <si>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to close</t>
  </si>
  <si>
    <t>131.87 not yet</t>
  </si>
  <si>
    <t>taobao 19.86 cancelled</t>
  </si>
  <si>
    <t>MB mrt</t>
  </si>
  <si>
    <t>..cover 11Jun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</si>
</sst>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91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26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9" fillId="0" borderId="0" xfId="3" applyFont="1"/>
    <xf numFmtId="0" fontId="80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1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79" fillId="0" borderId="0" xfId="3" applyNumberFormat="1" applyFont="1" applyAlignment="1"/>
    <xf numFmtId="0" fontId="79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9" fillId="20" borderId="0" xfId="3" quotePrefix="1" applyFont="1" applyFill="1"/>
    <xf numFmtId="172" fontId="79" fillId="0" borderId="0" xfId="3" applyNumberFormat="1" applyFont="1"/>
    <xf numFmtId="177" fontId="79" fillId="0" borderId="0" xfId="3" applyNumberFormat="1" applyFont="1" applyAlignment="1">
      <alignment vertical="center"/>
    </xf>
    <xf numFmtId="0" fontId="82" fillId="0" borderId="0" xfId="3" applyFont="1" applyFill="1"/>
    <xf numFmtId="0" fontId="79" fillId="20" borderId="0" xfId="3" applyFont="1" applyFill="1"/>
    <xf numFmtId="3" fontId="79" fillId="0" borderId="0" xfId="3" applyNumberFormat="1" applyFont="1"/>
    <xf numFmtId="177" fontId="79" fillId="0" borderId="9" xfId="3" applyNumberFormat="1" applyFont="1" applyBorder="1" applyAlignment="1">
      <alignment horizontal="right" vertical="center"/>
    </xf>
    <xf numFmtId="177" fontId="79" fillId="0" borderId="7" xfId="3" applyNumberFormat="1" applyFont="1" applyBorder="1" applyAlignment="1"/>
    <xf numFmtId="0" fontId="79" fillId="0" borderId="7" xfId="3" applyFont="1" applyBorder="1" applyAlignment="1">
      <alignment horizontal="center"/>
    </xf>
    <xf numFmtId="0" fontId="79" fillId="0" borderId="7" xfId="3" applyFont="1" applyBorder="1" applyAlignment="1">
      <alignment horizontal="right"/>
    </xf>
    <xf numFmtId="0" fontId="79" fillId="0" borderId="7" xfId="3" applyFont="1" applyBorder="1" applyAlignment="1">
      <alignment horizontal="left"/>
    </xf>
    <xf numFmtId="177" fontId="79" fillId="0" borderId="10" xfId="3" applyNumberFormat="1" applyFont="1" applyBorder="1" applyAlignment="1"/>
    <xf numFmtId="0" fontId="79" fillId="0" borderId="5" xfId="3" applyNumberFormat="1" applyFont="1" applyBorder="1" applyAlignment="1"/>
    <xf numFmtId="0" fontId="79" fillId="0" borderId="7" xfId="3" applyNumberFormat="1" applyFont="1" applyBorder="1" applyAlignment="1"/>
    <xf numFmtId="0" fontId="79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9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3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3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9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4" fillId="20" borderId="0" xfId="3" quotePrefix="1" applyFont="1" applyFill="1"/>
    <xf numFmtId="0" fontId="84" fillId="0" borderId="0" xfId="3" applyFont="1"/>
    <xf numFmtId="177" fontId="84" fillId="0" borderId="0" xfId="3" applyNumberFormat="1" applyFont="1" applyAlignment="1"/>
    <xf numFmtId="0" fontId="84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7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7" fillId="0" borderId="0" xfId="0" applyNumberFormat="1" applyFont="1" applyAlignment="1">
      <alignment horizontal="right"/>
    </xf>
    <xf numFmtId="39" fontId="0" fillId="0" borderId="0" xfId="0" applyNumberFormat="1" applyFont="1"/>
    <xf numFmtId="39" fontId="87" fillId="0" borderId="0" xfId="0" applyNumberFormat="1" applyFont="1" applyFill="1" applyAlignment="1">
      <alignment horizontal="center"/>
    </xf>
    <xf numFmtId="0" fontId="84" fillId="20" borderId="0" xfId="3" applyFont="1" applyFill="1"/>
    <xf numFmtId="177" fontId="84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7" fillId="0" borderId="0" xfId="0" applyNumberFormat="1" applyFont="1" applyFill="1" applyAlignment="1">
      <alignment horizontal="center"/>
    </xf>
    <xf numFmtId="4" fontId="87" fillId="0" borderId="0" xfId="0" applyNumberFormat="1" applyFont="1" applyAlignment="1">
      <alignment horizontal="right"/>
    </xf>
    <xf numFmtId="39" fontId="88" fillId="0" borderId="24" xfId="0" applyNumberFormat="1" applyFont="1" applyFill="1" applyBorder="1" applyAlignment="1">
      <alignment horizontal="right" vertical="center"/>
    </xf>
    <xf numFmtId="39" fontId="88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36" fillId="0" borderId="0" xfId="0" applyNumberFormat="1" applyFont="1" applyAlignment="1">
      <alignment horizontal="right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5" fillId="0" borderId="0" xfId="3" applyNumberFormat="1" applyFont="1" applyAlignment="1">
      <alignment horizontal="center" vertical="center"/>
    </xf>
    <xf numFmtId="0" fontId="79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9" fillId="0" borderId="8" xfId="3" applyFont="1" applyBorder="1" applyAlignment="1">
      <alignment horizontal="center" vertical="top"/>
    </xf>
    <xf numFmtId="0" fontId="79" fillId="0" borderId="11" xfId="3" applyFont="1" applyBorder="1" applyAlignment="1">
      <alignment horizontal="center" vertical="top"/>
    </xf>
    <xf numFmtId="0" fontId="79" fillId="0" borderId="8" xfId="3" applyFont="1" applyFill="1" applyBorder="1" applyAlignment="1">
      <alignment horizontal="center" vertical="top" wrapText="1"/>
    </xf>
    <xf numFmtId="0" fontId="79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9" fillId="0" borderId="0" xfId="3" applyFont="1" applyAlignment="1">
      <alignment horizontal="center"/>
    </xf>
    <xf numFmtId="0" fontId="79" fillId="0" borderId="7" xfId="3" applyFont="1" applyBorder="1" applyAlignment="1">
      <alignment horizontal="center"/>
    </xf>
    <xf numFmtId="0" fontId="79" fillId="0" borderId="7" xfId="3" applyFont="1" applyFill="1" applyBorder="1" applyAlignment="1">
      <alignment horizontal="center" wrapText="1"/>
    </xf>
    <xf numFmtId="0" fontId="79" fillId="0" borderId="8" xfId="3" applyFont="1" applyBorder="1" applyAlignment="1">
      <alignment horizontal="center" wrapText="1"/>
    </xf>
    <xf numFmtId="0" fontId="79" fillId="0" borderId="11" xfId="3" applyFont="1" applyBorder="1" applyAlignment="1">
      <alignment horizontal="center" wrapText="1"/>
    </xf>
    <xf numFmtId="39" fontId="87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90" fillId="0" borderId="0" xfId="0" applyFont="1"/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A18" sqref="A18:XFD18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x14ac:dyDescent="0.2">
      <c r="I1" s="549"/>
    </row>
    <row r="2" spans="2:16" s="624" customFormat="1" x14ac:dyDescent="0.2">
      <c r="B2" s="903" t="s">
        <v>1875</v>
      </c>
      <c r="C2" s="903"/>
      <c r="D2" s="903"/>
      <c r="E2" s="905" t="s">
        <v>2500</v>
      </c>
      <c r="F2" s="905" t="s">
        <v>2522</v>
      </c>
      <c r="G2" s="692"/>
      <c r="H2" s="892"/>
      <c r="I2" s="904" t="s">
        <v>2629</v>
      </c>
      <c r="J2" s="904"/>
      <c r="K2" s="894" t="s">
        <v>2626</v>
      </c>
      <c r="L2" s="894" t="s">
        <v>2546</v>
      </c>
      <c r="M2" s="905" t="s">
        <v>2505</v>
      </c>
      <c r="N2" s="886" t="s">
        <v>2512</v>
      </c>
    </row>
    <row r="3" spans="2:16" s="699" customFormat="1" x14ac:dyDescent="0.2">
      <c r="B3" s="693" t="s">
        <v>1874</v>
      </c>
      <c r="C3" s="694" t="s">
        <v>1873</v>
      </c>
      <c r="D3" s="695" t="s">
        <v>2415</v>
      </c>
      <c r="E3" s="906"/>
      <c r="F3" s="906"/>
      <c r="G3" s="696"/>
      <c r="H3" s="893"/>
      <c r="I3" s="697" t="s">
        <v>2589</v>
      </c>
      <c r="J3" s="698" t="s">
        <v>2212</v>
      </c>
      <c r="K3" s="895"/>
      <c r="L3" s="895"/>
      <c r="M3" s="906"/>
      <c r="N3" s="886"/>
    </row>
    <row r="4" spans="2:16" s="624" customFormat="1" x14ac:dyDescent="0.2">
      <c r="B4" s="624">
        <v>38</v>
      </c>
      <c r="C4" s="624">
        <v>29</v>
      </c>
      <c r="D4" s="624">
        <v>130</v>
      </c>
      <c r="G4" s="653">
        <v>44958</v>
      </c>
      <c r="I4" s="624">
        <f>360-J4</f>
        <v>285</v>
      </c>
      <c r="J4" s="624">
        <v>75</v>
      </c>
      <c r="K4" s="624">
        <v>65</v>
      </c>
      <c r="L4" s="624">
        <v>176</v>
      </c>
      <c r="M4" s="624">
        <v>485.00099999999998</v>
      </c>
      <c r="N4" s="624" t="s">
        <v>2515</v>
      </c>
      <c r="O4" s="624" t="s">
        <v>2552</v>
      </c>
    </row>
    <row r="5" spans="2:16" s="624" customFormat="1" x14ac:dyDescent="0.2">
      <c r="B5" s="624" t="s">
        <v>2501</v>
      </c>
      <c r="C5" s="624">
        <v>8</v>
      </c>
      <c r="D5" s="624">
        <f>D4</f>
        <v>130</v>
      </c>
      <c r="E5" s="624" t="s">
        <v>2524</v>
      </c>
      <c r="F5" s="624" t="s">
        <v>310</v>
      </c>
      <c r="G5" s="653">
        <v>44975</v>
      </c>
      <c r="H5" s="654"/>
      <c r="I5" s="624">
        <f>360-J5</f>
        <v>285</v>
      </c>
      <c r="J5" s="624">
        <v>75</v>
      </c>
      <c r="K5" s="624">
        <v>65</v>
      </c>
      <c r="L5" s="624">
        <v>176</v>
      </c>
      <c r="M5" s="624">
        <v>418.00099999999998</v>
      </c>
      <c r="N5" s="624" t="s">
        <v>2515</v>
      </c>
    </row>
    <row r="6" spans="2:16" s="624" customFormat="1" x14ac:dyDescent="0.2">
      <c r="B6" s="685"/>
      <c r="E6" s="686">
        <v>155</v>
      </c>
      <c r="G6" s="687">
        <v>44985</v>
      </c>
      <c r="H6" s="654" t="s">
        <v>2554</v>
      </c>
      <c r="P6" s="654"/>
    </row>
    <row r="7" spans="2:16" s="624" customFormat="1" x14ac:dyDescent="0.2">
      <c r="B7" s="685"/>
      <c r="G7" s="687">
        <v>44987</v>
      </c>
      <c r="H7" s="688" t="s">
        <v>2700</v>
      </c>
      <c r="P7" s="654"/>
    </row>
    <row r="8" spans="2:16" s="732" customFormat="1" x14ac:dyDescent="0.2">
      <c r="B8" s="731"/>
      <c r="G8" s="733">
        <v>45013</v>
      </c>
      <c r="H8" s="734"/>
      <c r="I8" s="734"/>
      <c r="J8" s="734"/>
      <c r="K8" s="734"/>
      <c r="L8" s="734"/>
      <c r="M8" s="734"/>
      <c r="O8" s="734" t="s">
        <v>2733</v>
      </c>
      <c r="P8" s="734"/>
    </row>
    <row r="9" spans="2:16" s="624" customFormat="1" x14ac:dyDescent="0.2">
      <c r="B9" s="689"/>
      <c r="E9" s="624" t="s">
        <v>2521</v>
      </c>
      <c r="F9" s="624" t="s">
        <v>2592</v>
      </c>
      <c r="G9" s="653">
        <v>45016</v>
      </c>
      <c r="H9" s="654"/>
      <c r="I9" s="690">
        <v>220</v>
      </c>
      <c r="J9" s="624">
        <v>75</v>
      </c>
      <c r="K9" s="654">
        <v>0</v>
      </c>
      <c r="L9" s="654"/>
      <c r="M9" s="624">
        <v>258</v>
      </c>
      <c r="N9" s="654" t="s">
        <v>2687</v>
      </c>
    </row>
    <row r="10" spans="2:16" x14ac:dyDescent="0.2">
      <c r="B10" s="567"/>
      <c r="C10" s="898" t="s">
        <v>2503</v>
      </c>
      <c r="D10" s="898"/>
      <c r="E10" s="898"/>
      <c r="F10" s="898"/>
      <c r="G10" s="898"/>
      <c r="H10" s="898"/>
      <c r="I10" s="898"/>
      <c r="J10" s="898"/>
      <c r="K10" s="898"/>
      <c r="L10" s="898"/>
      <c r="M10" s="898"/>
      <c r="N10" s="898"/>
      <c r="O10" s="898"/>
      <c r="P10" s="898"/>
    </row>
    <row r="11" spans="2:16" ht="12.75" customHeight="1" x14ac:dyDescent="0.2">
      <c r="B11" s="566"/>
      <c r="C11" s="558" t="s">
        <v>2518</v>
      </c>
      <c r="D11" s="556"/>
      <c r="E11" s="887" t="s">
        <v>2500</v>
      </c>
      <c r="F11" s="887" t="s">
        <v>2522</v>
      </c>
      <c r="G11" s="560"/>
      <c r="H11" s="890" t="s">
        <v>2511</v>
      </c>
      <c r="I11" s="896" t="s">
        <v>2750</v>
      </c>
      <c r="J11" s="899" t="s">
        <v>2627</v>
      </c>
      <c r="K11" s="899"/>
      <c r="L11" s="900"/>
      <c r="M11" s="887" t="s">
        <v>2751</v>
      </c>
      <c r="N11" s="889" t="s">
        <v>2512</v>
      </c>
    </row>
    <row r="12" spans="2:16" x14ac:dyDescent="0.2">
      <c r="B12" s="566"/>
      <c r="C12" s="550" t="s">
        <v>1873</v>
      </c>
      <c r="D12" s="551" t="s">
        <v>2415</v>
      </c>
      <c r="E12" s="888"/>
      <c r="F12" s="888"/>
      <c r="G12" s="562"/>
      <c r="H12" s="891"/>
      <c r="I12" s="897"/>
      <c r="J12" s="700" t="s">
        <v>2520</v>
      </c>
      <c r="K12" s="563" t="s">
        <v>1874</v>
      </c>
      <c r="L12" s="901"/>
      <c r="M12" s="888"/>
      <c r="N12" s="889"/>
    </row>
    <row r="13" spans="2:16" s="624" customFormat="1" x14ac:dyDescent="0.2">
      <c r="B13" s="902">
        <v>8</v>
      </c>
      <c r="C13" s="902"/>
      <c r="G13" s="691">
        <v>45017</v>
      </c>
      <c r="H13" s="654">
        <v>0</v>
      </c>
      <c r="J13" s="701"/>
      <c r="O13" s="624" t="s">
        <v>2519</v>
      </c>
    </row>
    <row r="14" spans="2:16" s="624" customFormat="1" x14ac:dyDescent="0.2">
      <c r="B14" s="689"/>
      <c r="C14" s="624" t="s">
        <v>2501</v>
      </c>
      <c r="E14" s="688" t="s">
        <v>2630</v>
      </c>
      <c r="F14" s="688" t="s">
        <v>2618</v>
      </c>
      <c r="G14" s="653">
        <v>45020</v>
      </c>
      <c r="H14" s="654"/>
      <c r="I14" s="624">
        <v>110</v>
      </c>
      <c r="J14" s="725">
        <f>I9-I14-L14</f>
        <v>110</v>
      </c>
      <c r="K14" s="624">
        <v>75</v>
      </c>
      <c r="M14" s="624">
        <f>M9-B13</f>
        <v>250</v>
      </c>
      <c r="N14" s="654" t="s">
        <v>2687</v>
      </c>
    </row>
    <row r="15" spans="2:16" s="624" customFormat="1" x14ac:dyDescent="0.2">
      <c r="B15" s="689"/>
      <c r="E15" s="688"/>
      <c r="F15" s="688"/>
      <c r="G15" s="653">
        <v>45034</v>
      </c>
      <c r="H15" s="654" t="s">
        <v>2761</v>
      </c>
      <c r="N15" s="654"/>
    </row>
    <row r="16" spans="2:16" s="732" customFormat="1" x14ac:dyDescent="0.2">
      <c r="B16" s="744"/>
      <c r="C16" s="732">
        <v>3</v>
      </c>
      <c r="E16" s="734" t="s">
        <v>2676</v>
      </c>
      <c r="F16" s="734" t="s">
        <v>2592</v>
      </c>
      <c r="G16" s="745">
        <v>45044</v>
      </c>
      <c r="H16" s="734">
        <v>0</v>
      </c>
      <c r="I16" s="732">
        <v>7</v>
      </c>
      <c r="J16" s="732">
        <v>120</v>
      </c>
      <c r="K16" s="732">
        <f>J5</f>
        <v>75</v>
      </c>
      <c r="M16" s="732">
        <v>138</v>
      </c>
      <c r="N16" s="732" t="s">
        <v>2513</v>
      </c>
      <c r="O16" s="732" t="s">
        <v>2780</v>
      </c>
    </row>
    <row r="17" spans="2:18" x14ac:dyDescent="0.2">
      <c r="B17" s="566"/>
      <c r="E17" s="625"/>
      <c r="F17" s="625"/>
      <c r="H17" s="555"/>
      <c r="N17" s="555"/>
      <c r="O17" s="554" t="s">
        <v>2732</v>
      </c>
    </row>
    <row r="18" spans="2:18" ht="18.75" x14ac:dyDescent="0.3">
      <c r="B18" s="566"/>
      <c r="E18" s="552"/>
      <c r="F18" s="552"/>
      <c r="G18" s="561">
        <v>45045</v>
      </c>
      <c r="H18" s="555"/>
      <c r="K18" s="555"/>
      <c r="L18" s="555"/>
      <c r="O18" s="553" t="s">
        <v>2792</v>
      </c>
    </row>
    <row r="19" spans="2:18" x14ac:dyDescent="0.2">
      <c r="B19" s="567"/>
      <c r="C19" s="898" t="s">
        <v>2504</v>
      </c>
      <c r="D19" s="898"/>
      <c r="E19" s="898"/>
      <c r="F19" s="898"/>
      <c r="G19" s="898"/>
      <c r="H19" s="898"/>
      <c r="I19" s="898"/>
      <c r="J19" s="898"/>
      <c r="K19" s="898"/>
      <c r="L19" s="898"/>
      <c r="M19" s="898"/>
      <c r="N19" s="898"/>
      <c r="O19" s="898"/>
      <c r="P19" s="898"/>
    </row>
    <row r="20" spans="2:18" x14ac:dyDescent="0.2">
      <c r="B20" s="566"/>
      <c r="E20" s="552"/>
      <c r="F20" s="552"/>
      <c r="G20" s="885">
        <v>45076</v>
      </c>
      <c r="H20" s="555" t="s">
        <v>2673</v>
      </c>
      <c r="K20" s="555"/>
      <c r="L20" s="555"/>
      <c r="O20" s="553"/>
    </row>
    <row r="21" spans="2:18" ht="12.75" customHeight="1" x14ac:dyDescent="0.2">
      <c r="B21" s="566"/>
      <c r="C21" s="548">
        <f>C16+1+20</f>
        <v>24</v>
      </c>
      <c r="D21" s="548" t="s">
        <v>2502</v>
      </c>
      <c r="E21" s="552"/>
      <c r="F21" s="552"/>
      <c r="G21" s="885"/>
      <c r="K21" s="555"/>
      <c r="L21" s="555"/>
      <c r="O21" s="548" t="s">
        <v>2539</v>
      </c>
      <c r="R21" s="553"/>
    </row>
    <row r="22" spans="2:18" ht="12.75" customHeight="1" x14ac:dyDescent="0.2">
      <c r="B22" s="566"/>
      <c r="E22" s="552"/>
      <c r="F22" s="552"/>
      <c r="G22" s="885"/>
      <c r="H22" s="555"/>
      <c r="K22" s="555"/>
      <c r="L22" s="555"/>
      <c r="O22" s="548" t="s">
        <v>2752</v>
      </c>
      <c r="R22" s="553"/>
    </row>
    <row r="23" spans="2:18" x14ac:dyDescent="0.2">
      <c r="B23" s="566"/>
      <c r="C23" s="548">
        <v>0</v>
      </c>
      <c r="E23" s="557" t="s">
        <v>2523</v>
      </c>
      <c r="F23" s="554" t="s">
        <v>1866</v>
      </c>
      <c r="G23" s="587">
        <v>45083</v>
      </c>
      <c r="H23" s="555"/>
      <c r="K23" s="555"/>
      <c r="L23" s="555"/>
      <c r="M23" s="548">
        <f>M16-C21</f>
        <v>114</v>
      </c>
      <c r="N23" s="548" t="s">
        <v>2514</v>
      </c>
    </row>
    <row r="24" spans="2:18" x14ac:dyDescent="0.2">
      <c r="B24" s="566"/>
      <c r="E24" s="557"/>
      <c r="F24" s="554"/>
      <c r="G24" s="587"/>
      <c r="H24" s="555"/>
      <c r="K24" s="555"/>
      <c r="L24" s="555"/>
    </row>
    <row r="25" spans="2:18" x14ac:dyDescent="0.2">
      <c r="B25" s="566"/>
      <c r="E25" s="554"/>
      <c r="G25" s="561">
        <v>45104</v>
      </c>
      <c r="H25" s="555"/>
      <c r="K25" s="555"/>
      <c r="L25" s="555"/>
      <c r="O25" s="548" t="s">
        <v>2720</v>
      </c>
    </row>
    <row r="26" spans="2:18" x14ac:dyDescent="0.2">
      <c r="B26" s="566"/>
      <c r="C26" s="548">
        <f>113+1</f>
        <v>114</v>
      </c>
      <c r="D26" s="548" t="s">
        <v>2502</v>
      </c>
      <c r="G26" s="561">
        <v>45106</v>
      </c>
      <c r="H26" s="555"/>
      <c r="K26" s="555"/>
      <c r="L26" s="555"/>
      <c r="O26" s="548" t="s">
        <v>2510</v>
      </c>
    </row>
    <row r="27" spans="2:18" x14ac:dyDescent="0.2">
      <c r="B27" s="566"/>
      <c r="H27" s="555"/>
      <c r="K27" s="555"/>
      <c r="L27" s="555"/>
    </row>
    <row r="28" spans="2:18" x14ac:dyDescent="0.2">
      <c r="B28" s="566"/>
      <c r="E28" s="588" t="s">
        <v>2838</v>
      </c>
      <c r="F28" s="588" t="s">
        <v>2508</v>
      </c>
      <c r="G28" s="561">
        <v>45111</v>
      </c>
      <c r="H28" s="555"/>
      <c r="K28" s="555"/>
      <c r="L28" s="555"/>
    </row>
    <row r="29" spans="2:18" x14ac:dyDescent="0.2">
      <c r="H29" s="555"/>
      <c r="K29" s="555"/>
      <c r="L29" s="555"/>
    </row>
    <row r="30" spans="2:18" x14ac:dyDescent="0.2">
      <c r="H30" s="555"/>
      <c r="K30" s="555"/>
      <c r="L30" s="555"/>
      <c r="N30" s="569">
        <v>10000</v>
      </c>
      <c r="O30" s="568" t="s">
        <v>2509</v>
      </c>
    </row>
    <row r="31" spans="2:18" x14ac:dyDescent="0.2">
      <c r="N31" s="570">
        <f>3.78%-2.5%</f>
        <v>1.2799999999999999E-2</v>
      </c>
      <c r="O31" s="568" t="s">
        <v>2507</v>
      </c>
    </row>
    <row r="32" spans="2:18" x14ac:dyDescent="0.2">
      <c r="N32" s="571">
        <f>N30*N31/12</f>
        <v>10.666666666666666</v>
      </c>
      <c r="O32" s="568" t="s">
        <v>2506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workbookViewId="0">
      <selection activeCell="D34" sqref="D34:E34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38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75" t="s">
        <v>2797</v>
      </c>
      <c r="C2" s="775"/>
      <c r="D2" s="776" t="s">
        <v>2806</v>
      </c>
    </row>
    <row r="3" spans="2:6" x14ac:dyDescent="0.2">
      <c r="B3" s="357"/>
    </row>
    <row r="4" spans="2:6" x14ac:dyDescent="0.2">
      <c r="B4" s="582">
        <v>100000</v>
      </c>
      <c r="C4" s="739">
        <v>45017</v>
      </c>
      <c r="D4" s="779">
        <v>112230.08</v>
      </c>
      <c r="E4" s="740">
        <v>4.0000000000000001E-3</v>
      </c>
      <c r="F4" s="740"/>
    </row>
    <row r="5" spans="2:6" x14ac:dyDescent="0.2">
      <c r="B5" s="582">
        <v>100000</v>
      </c>
      <c r="C5" s="739">
        <v>45018</v>
      </c>
      <c r="D5" s="779">
        <v>112230.08</v>
      </c>
      <c r="E5" s="740">
        <v>4.0000000000000001E-3</v>
      </c>
      <c r="F5" s="740"/>
    </row>
    <row r="6" spans="2:6" x14ac:dyDescent="0.2">
      <c r="B6" s="582">
        <v>100000</v>
      </c>
      <c r="C6" s="739">
        <v>45019</v>
      </c>
      <c r="D6" s="741">
        <v>110275.28</v>
      </c>
      <c r="E6" s="740">
        <v>4.0000000000000001E-3</v>
      </c>
      <c r="F6" s="740"/>
    </row>
    <row r="7" spans="2:6" x14ac:dyDescent="0.2">
      <c r="B7" s="582">
        <v>100000</v>
      </c>
      <c r="C7" s="739">
        <v>45020</v>
      </c>
      <c r="D7" s="741">
        <v>110275.29</v>
      </c>
      <c r="E7" s="740">
        <v>4.0000000000000001E-3</v>
      </c>
      <c r="F7" s="740"/>
    </row>
    <row r="8" spans="2:6" x14ac:dyDescent="0.2">
      <c r="B8" s="582">
        <v>100000</v>
      </c>
      <c r="C8" s="739">
        <v>45021</v>
      </c>
      <c r="D8" s="741">
        <v>110275.3</v>
      </c>
      <c r="E8" s="740">
        <v>4.0000000000000001E-3</v>
      </c>
      <c r="F8" s="740"/>
    </row>
    <row r="9" spans="2:6" x14ac:dyDescent="0.2">
      <c r="B9" s="582">
        <v>100000</v>
      </c>
      <c r="C9" s="739">
        <v>45022</v>
      </c>
      <c r="D9" s="741">
        <v>110275.31</v>
      </c>
      <c r="E9" s="740">
        <v>4.0000000000000001E-3</v>
      </c>
      <c r="F9" s="740"/>
    </row>
    <row r="10" spans="2:6" x14ac:dyDescent="0.2">
      <c r="B10" s="582">
        <v>100000</v>
      </c>
      <c r="C10" s="739">
        <v>45023</v>
      </c>
      <c r="D10" s="741">
        <v>110275.32</v>
      </c>
      <c r="E10" s="740">
        <v>4.0000000000000001E-3</v>
      </c>
      <c r="F10" s="740"/>
    </row>
    <row r="11" spans="2:6" x14ac:dyDescent="0.2">
      <c r="B11" s="582">
        <v>100000</v>
      </c>
      <c r="C11" s="739">
        <v>45024</v>
      </c>
      <c r="D11" s="741">
        <v>110275.33</v>
      </c>
      <c r="E11" s="740">
        <v>4.0000000000000001E-3</v>
      </c>
      <c r="F11" s="740"/>
    </row>
    <row r="12" spans="2:6" x14ac:dyDescent="0.2">
      <c r="B12" s="582">
        <v>100000</v>
      </c>
      <c r="C12" s="739">
        <v>45025</v>
      </c>
      <c r="D12" s="741">
        <v>110275.34</v>
      </c>
      <c r="E12" s="740">
        <v>4.0000000000000001E-3</v>
      </c>
      <c r="F12" s="740"/>
    </row>
    <row r="13" spans="2:6" x14ac:dyDescent="0.2">
      <c r="B13" s="582">
        <v>100000</v>
      </c>
      <c r="C13" s="739">
        <v>45026</v>
      </c>
      <c r="D13" s="741">
        <v>110000</v>
      </c>
      <c r="E13" s="740">
        <v>4.0000000000000001E-3</v>
      </c>
      <c r="F13" s="740"/>
    </row>
    <row r="14" spans="2:6" x14ac:dyDescent="0.2">
      <c r="B14" s="582">
        <v>100000</v>
      </c>
      <c r="C14" s="739">
        <v>45027</v>
      </c>
      <c r="D14" s="778">
        <v>100000</v>
      </c>
      <c r="E14" s="740">
        <v>4.0000000000000001E-3</v>
      </c>
      <c r="F14" s="740"/>
    </row>
    <row r="15" spans="2:6" x14ac:dyDescent="0.2">
      <c r="B15" s="582">
        <v>100000</v>
      </c>
      <c r="C15" s="739">
        <v>45028</v>
      </c>
      <c r="D15" s="778">
        <v>100000</v>
      </c>
      <c r="E15" s="740">
        <v>4.0000000000000001E-3</v>
      </c>
      <c r="F15" s="740"/>
    </row>
    <row r="16" spans="2:6" x14ac:dyDescent="0.2">
      <c r="B16" s="582">
        <v>100000</v>
      </c>
      <c r="C16" s="739">
        <v>45029</v>
      </c>
      <c r="D16" s="778">
        <v>100000</v>
      </c>
      <c r="E16" s="740">
        <v>4.0000000000000001E-3</v>
      </c>
      <c r="F16" s="740"/>
    </row>
    <row r="17" spans="2:11" x14ac:dyDescent="0.2">
      <c r="B17" s="582">
        <v>100000</v>
      </c>
      <c r="C17" s="739">
        <v>45030</v>
      </c>
      <c r="D17" s="778">
        <v>100000</v>
      </c>
      <c r="E17" s="740">
        <v>4.0000000000000001E-3</v>
      </c>
      <c r="F17" s="740"/>
    </row>
    <row r="18" spans="2:11" x14ac:dyDescent="0.2">
      <c r="B18" s="742">
        <f t="shared" ref="B18:B33" si="0">D18</f>
        <v>99936</v>
      </c>
      <c r="C18" s="739">
        <v>45031</v>
      </c>
      <c r="D18" s="741">
        <v>99936</v>
      </c>
      <c r="E18" s="740">
        <v>3.0000000000000001E-3</v>
      </c>
      <c r="F18" s="740"/>
    </row>
    <row r="19" spans="2:11" x14ac:dyDescent="0.2">
      <c r="B19" s="742">
        <f t="shared" si="0"/>
        <v>99936.01</v>
      </c>
      <c r="C19" s="739">
        <v>45032</v>
      </c>
      <c r="D19" s="741">
        <v>99936.01</v>
      </c>
      <c r="E19" s="740">
        <v>3.0000000000000001E-3</v>
      </c>
      <c r="F19" s="740"/>
    </row>
    <row r="20" spans="2:11" x14ac:dyDescent="0.2">
      <c r="B20" s="742">
        <f t="shared" si="0"/>
        <v>99917.1</v>
      </c>
      <c r="C20" s="739">
        <v>45033</v>
      </c>
      <c r="D20" s="741">
        <v>99917.1</v>
      </c>
      <c r="E20" s="740">
        <v>3.0000000000000001E-3</v>
      </c>
      <c r="F20" s="740"/>
    </row>
    <row r="21" spans="2:11" x14ac:dyDescent="0.2">
      <c r="B21" s="742">
        <f t="shared" si="0"/>
        <v>99913.04</v>
      </c>
      <c r="C21" s="739">
        <v>45034</v>
      </c>
      <c r="D21" s="741">
        <v>99913.04</v>
      </c>
      <c r="E21" s="740">
        <v>3.0000000000000001E-3</v>
      </c>
      <c r="F21" s="740"/>
    </row>
    <row r="22" spans="2:11" x14ac:dyDescent="0.2">
      <c r="B22" s="742">
        <f t="shared" si="0"/>
        <v>99913.05</v>
      </c>
      <c r="C22" s="739">
        <v>45035</v>
      </c>
      <c r="D22" s="741">
        <v>99913.05</v>
      </c>
      <c r="E22" s="740">
        <v>3.0000000000000001E-3</v>
      </c>
      <c r="F22" s="740"/>
    </row>
    <row r="23" spans="2:11" x14ac:dyDescent="0.2">
      <c r="B23" s="742">
        <f t="shared" si="0"/>
        <v>99836.1</v>
      </c>
      <c r="C23" s="739">
        <v>45036</v>
      </c>
      <c r="D23" s="741">
        <v>99836.1</v>
      </c>
      <c r="E23" s="740">
        <v>3.0000000000000001E-3</v>
      </c>
      <c r="F23" s="740"/>
    </row>
    <row r="24" spans="2:11" x14ac:dyDescent="0.2">
      <c r="B24" s="742">
        <f t="shared" si="0"/>
        <v>99833.2</v>
      </c>
      <c r="C24" s="739">
        <v>45037</v>
      </c>
      <c r="D24" s="741">
        <v>99833.2</v>
      </c>
      <c r="E24" s="740">
        <v>3.0000000000000001E-3</v>
      </c>
      <c r="F24" s="740"/>
    </row>
    <row r="25" spans="2:11" x14ac:dyDescent="0.2">
      <c r="B25" s="742">
        <f t="shared" si="0"/>
        <v>99833.21</v>
      </c>
      <c r="C25" s="739">
        <v>45038</v>
      </c>
      <c r="D25" s="741">
        <v>99833.21</v>
      </c>
      <c r="E25" s="740">
        <v>3.0000000000000001E-3</v>
      </c>
      <c r="F25" s="740"/>
    </row>
    <row r="26" spans="2:11" x14ac:dyDescent="0.2">
      <c r="B26" s="742">
        <f t="shared" si="0"/>
        <v>99833.22</v>
      </c>
      <c r="C26" s="739">
        <v>45039</v>
      </c>
      <c r="D26" s="741">
        <v>99833.22</v>
      </c>
      <c r="E26" s="740">
        <v>3.0000000000000001E-3</v>
      </c>
      <c r="F26" s="740"/>
    </row>
    <row r="27" spans="2:11" x14ac:dyDescent="0.2">
      <c r="B27" s="742">
        <f t="shared" si="0"/>
        <v>99833.23</v>
      </c>
      <c r="C27" s="739">
        <v>45040</v>
      </c>
      <c r="D27" s="741">
        <v>99833.23</v>
      </c>
      <c r="E27" s="740">
        <v>3.0000000000000001E-3</v>
      </c>
      <c r="F27" s="740"/>
    </row>
    <row r="28" spans="2:11" x14ac:dyDescent="0.2">
      <c r="B28" s="742">
        <f t="shared" si="0"/>
        <v>99833.24</v>
      </c>
      <c r="C28" s="739">
        <v>45041</v>
      </c>
      <c r="D28" s="741">
        <v>99833.24</v>
      </c>
      <c r="E28" s="740">
        <v>3.0000000000000001E-3</v>
      </c>
      <c r="F28" s="740"/>
      <c r="H28" s="582" t="s">
        <v>2692</v>
      </c>
      <c r="I28" s="582" t="s">
        <v>2693</v>
      </c>
      <c r="J28" s="582" t="s">
        <v>2798</v>
      </c>
      <c r="K28" s="582" t="s">
        <v>2694</v>
      </c>
    </row>
    <row r="29" spans="2:11" x14ac:dyDescent="0.2">
      <c r="B29" s="742">
        <f t="shared" si="0"/>
        <v>825.53</v>
      </c>
      <c r="C29" s="739">
        <v>45042</v>
      </c>
      <c r="D29" s="741">
        <v>825.53</v>
      </c>
      <c r="E29" s="740">
        <v>1.5E-3</v>
      </c>
      <c r="F29" s="740"/>
      <c r="H29" s="740">
        <v>2.5000000000000001E-2</v>
      </c>
      <c r="I29" s="740">
        <v>8.9999999999999993E-3</v>
      </c>
      <c r="J29" s="740">
        <v>8.0000000000000002E-3</v>
      </c>
      <c r="K29" s="740"/>
    </row>
    <row r="30" spans="2:11" x14ac:dyDescent="0.2">
      <c r="B30" s="742">
        <f t="shared" si="0"/>
        <v>8096.84</v>
      </c>
      <c r="C30" s="739">
        <v>45043</v>
      </c>
      <c r="D30" s="741">
        <v>8096.84</v>
      </c>
      <c r="E30" s="740">
        <v>2E-3</v>
      </c>
      <c r="F30" s="740"/>
      <c r="H30" s="742">
        <f>$B$34</f>
        <v>84372.148000000016</v>
      </c>
      <c r="I30" s="742">
        <f>$B$34</f>
        <v>84372.148000000016</v>
      </c>
      <c r="J30" s="742">
        <f>$B$34</f>
        <v>84372.148000000016</v>
      </c>
    </row>
    <row r="31" spans="2:11" x14ac:dyDescent="0.2">
      <c r="B31" s="742">
        <f t="shared" si="0"/>
        <v>7868.23</v>
      </c>
      <c r="C31" s="739">
        <v>45044</v>
      </c>
      <c r="D31" s="741">
        <v>7868.23</v>
      </c>
      <c r="E31" s="740">
        <v>2E-3</v>
      </c>
      <c r="F31" s="740"/>
      <c r="H31" s="582" t="s">
        <v>2757</v>
      </c>
      <c r="I31" s="582" t="s">
        <v>2757</v>
      </c>
      <c r="J31" s="582" t="s">
        <v>2757</v>
      </c>
      <c r="K31" s="582" t="s">
        <v>2757</v>
      </c>
    </row>
    <row r="32" spans="2:11" x14ac:dyDescent="0.2">
      <c r="B32" s="742">
        <f t="shared" si="0"/>
        <v>7865.66</v>
      </c>
      <c r="C32" s="739">
        <v>45045</v>
      </c>
      <c r="D32" s="741">
        <v>7865.66</v>
      </c>
      <c r="E32" s="740">
        <v>2E-3</v>
      </c>
      <c r="F32" s="740"/>
      <c r="H32" s="582">
        <f>H29*H30/365*31</f>
        <v>179.14634164383565</v>
      </c>
      <c r="I32" s="582">
        <f>I29*I30/365*31</f>
        <v>64.492682991780825</v>
      </c>
      <c r="J32" s="582">
        <f>J29*J30/365*31</f>
        <v>57.326829326027415</v>
      </c>
      <c r="K32" s="742">
        <f>D34</f>
        <v>25.715295438356168</v>
      </c>
    </row>
    <row r="33" spans="2:11" x14ac:dyDescent="0.2">
      <c r="B33" s="742">
        <f t="shared" si="0"/>
        <v>7890.78</v>
      </c>
      <c r="C33" s="739">
        <v>45046</v>
      </c>
      <c r="D33" s="741">
        <v>7890.78</v>
      </c>
      <c r="E33" s="740">
        <v>2E-3</v>
      </c>
      <c r="F33" s="740"/>
      <c r="G33" s="582" t="s">
        <v>2815</v>
      </c>
      <c r="H33" s="582">
        <v>180.39</v>
      </c>
      <c r="I33" s="582">
        <v>64.94</v>
      </c>
      <c r="J33" s="582">
        <v>57.72</v>
      </c>
      <c r="K33" s="582">
        <v>25.72</v>
      </c>
    </row>
    <row r="34" spans="2:11" x14ac:dyDescent="0.2">
      <c r="B34" s="742">
        <f>AVERAGE(B4:B33)</f>
        <v>84372.148000000016</v>
      </c>
      <c r="D34" s="907">
        <f>SUMPRODUCT(D4:D33,E4:E33)/365</f>
        <v>25.715295438356168</v>
      </c>
      <c r="E34" s="907"/>
      <c r="F34" s="776"/>
    </row>
    <row r="35" spans="2:11" x14ac:dyDescent="0.2">
      <c r="B35" s="775" t="s">
        <v>2820</v>
      </c>
      <c r="D35" s="907" t="s">
        <v>2807</v>
      </c>
      <c r="E35" s="907"/>
      <c r="F35" s="776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6"/>
  <sheetViews>
    <sheetView topLeftCell="A6" workbookViewId="0">
      <selection activeCell="J31" sqref="J31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38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37" t="s">
        <v>2797</v>
      </c>
      <c r="C2" s="737"/>
      <c r="D2" s="738" t="s">
        <v>2806</v>
      </c>
    </row>
    <row r="3" spans="2:6" x14ac:dyDescent="0.2">
      <c r="B3" s="357"/>
    </row>
    <row r="4" spans="2:6" x14ac:dyDescent="0.2">
      <c r="B4" s="242">
        <f>MIN(D4,100000)</f>
        <v>98.68</v>
      </c>
      <c r="C4" s="739">
        <v>45047</v>
      </c>
      <c r="D4" s="777">
        <v>98.68</v>
      </c>
      <c r="E4" s="740">
        <v>1.5E-3</v>
      </c>
      <c r="F4" s="740"/>
    </row>
    <row r="5" spans="2:6" x14ac:dyDescent="0.2">
      <c r="B5" s="242">
        <f t="shared" ref="B5:B34" si="0">MIN(D5,100000)</f>
        <v>45738.75</v>
      </c>
      <c r="C5" s="739">
        <v>45048</v>
      </c>
      <c r="D5" s="777">
        <v>45738.75</v>
      </c>
      <c r="E5" s="740">
        <v>3.0000000000000001E-3</v>
      </c>
      <c r="F5" s="740"/>
    </row>
    <row r="6" spans="2:6" x14ac:dyDescent="0.2">
      <c r="B6" s="242">
        <f t="shared" si="0"/>
        <v>100000</v>
      </c>
      <c r="C6" s="739">
        <v>45049</v>
      </c>
      <c r="D6" s="777">
        <v>105748.48</v>
      </c>
      <c r="E6" s="740">
        <v>4.0000000000000001E-3</v>
      </c>
      <c r="F6" s="740"/>
    </row>
    <row r="7" spans="2:6" x14ac:dyDescent="0.2">
      <c r="B7" s="242">
        <f t="shared" si="0"/>
        <v>100000</v>
      </c>
      <c r="C7" s="739">
        <v>45050</v>
      </c>
      <c r="D7" s="777">
        <v>105749.48</v>
      </c>
      <c r="E7" s="740">
        <v>4.0000000000000001E-3</v>
      </c>
      <c r="F7" s="740"/>
    </row>
    <row r="8" spans="2:6" x14ac:dyDescent="0.2">
      <c r="B8" s="242">
        <f t="shared" si="0"/>
        <v>100000</v>
      </c>
      <c r="C8" s="739">
        <v>45051</v>
      </c>
      <c r="D8" s="777">
        <v>104078.89</v>
      </c>
      <c r="E8" s="740">
        <v>4.0000000000000001E-3</v>
      </c>
      <c r="F8" s="740"/>
    </row>
    <row r="9" spans="2:6" x14ac:dyDescent="0.2">
      <c r="B9" s="242">
        <f t="shared" si="0"/>
        <v>100000</v>
      </c>
      <c r="C9" s="739">
        <v>45052</v>
      </c>
      <c r="D9" s="777">
        <v>101125.29</v>
      </c>
      <c r="E9" s="740">
        <v>4.0000000000000001E-3</v>
      </c>
      <c r="F9" s="740"/>
    </row>
    <row r="10" spans="2:6" x14ac:dyDescent="0.2">
      <c r="B10" s="242">
        <f t="shared" si="0"/>
        <v>100000</v>
      </c>
      <c r="C10" s="739">
        <v>45053</v>
      </c>
      <c r="D10" s="777">
        <v>101125.3</v>
      </c>
      <c r="E10" s="740">
        <v>4.0000000000000001E-3</v>
      </c>
      <c r="F10" s="740"/>
    </row>
    <row r="11" spans="2:6" x14ac:dyDescent="0.2">
      <c r="B11" s="242">
        <f t="shared" si="0"/>
        <v>2428.3200000000002</v>
      </c>
      <c r="C11" s="739">
        <v>45054</v>
      </c>
      <c r="D11" s="777">
        <v>2428.3200000000002</v>
      </c>
      <c r="E11" s="740">
        <v>1.5E-3</v>
      </c>
      <c r="F11" s="740"/>
    </row>
    <row r="12" spans="2:6" x14ac:dyDescent="0.2">
      <c r="B12" s="242">
        <f t="shared" si="0"/>
        <v>2425.9899999999998</v>
      </c>
      <c r="C12" s="739">
        <v>45055</v>
      </c>
      <c r="D12" s="777">
        <v>2425.9899999999998</v>
      </c>
      <c r="E12" s="740">
        <v>1.5E-3</v>
      </c>
      <c r="F12" s="740"/>
    </row>
    <row r="13" spans="2:6" x14ac:dyDescent="0.2">
      <c r="B13" s="242">
        <f t="shared" si="0"/>
        <v>100000</v>
      </c>
      <c r="C13" s="739">
        <v>45056</v>
      </c>
      <c r="D13" s="777">
        <v>101424.94</v>
      </c>
      <c r="E13" s="740">
        <v>4.0000000000000001E-3</v>
      </c>
      <c r="F13" s="740"/>
    </row>
    <row r="14" spans="2:6" x14ac:dyDescent="0.2">
      <c r="B14" s="242">
        <f t="shared" si="0"/>
        <v>100000</v>
      </c>
      <c r="C14" s="739">
        <v>45057</v>
      </c>
      <c r="D14" s="777">
        <v>100448.78</v>
      </c>
      <c r="E14" s="740">
        <v>4.0000000000000001E-3</v>
      </c>
      <c r="F14" s="740"/>
    </row>
    <row r="15" spans="2:6" x14ac:dyDescent="0.2">
      <c r="B15" s="242">
        <f t="shared" si="0"/>
        <v>100000</v>
      </c>
      <c r="C15" s="739">
        <v>45058</v>
      </c>
      <c r="D15" s="777">
        <v>100444.78</v>
      </c>
      <c r="E15" s="740">
        <v>4.0000000000000001E-3</v>
      </c>
      <c r="F15" s="740"/>
    </row>
    <row r="16" spans="2:6" x14ac:dyDescent="0.2">
      <c r="B16" s="242">
        <f t="shared" si="0"/>
        <v>100000</v>
      </c>
      <c r="C16" s="739">
        <v>45059</v>
      </c>
      <c r="D16" s="777">
        <v>100444.82</v>
      </c>
      <c r="E16" s="740">
        <v>4.0000000000000001E-3</v>
      </c>
      <c r="F16" s="740"/>
    </row>
    <row r="17" spans="2:11" x14ac:dyDescent="0.2">
      <c r="B17" s="242">
        <f t="shared" si="0"/>
        <v>100000</v>
      </c>
      <c r="C17" s="739">
        <v>45060</v>
      </c>
      <c r="D17" s="777">
        <v>100441.04</v>
      </c>
      <c r="E17" s="740">
        <v>4.0000000000000001E-3</v>
      </c>
      <c r="F17" s="740"/>
    </row>
    <row r="18" spans="2:11" x14ac:dyDescent="0.2">
      <c r="B18" s="242">
        <f t="shared" si="0"/>
        <v>100000</v>
      </c>
      <c r="C18" s="739">
        <v>45061</v>
      </c>
      <c r="D18" s="777">
        <v>100441.05</v>
      </c>
      <c r="E18" s="740">
        <v>4.0000000000000001E-3</v>
      </c>
      <c r="F18" s="740"/>
    </row>
    <row r="19" spans="2:11" x14ac:dyDescent="0.2">
      <c r="B19" s="242">
        <f t="shared" si="0"/>
        <v>100000</v>
      </c>
      <c r="C19" s="739">
        <v>45062</v>
      </c>
      <c r="D19" s="777">
        <v>100441.05</v>
      </c>
      <c r="E19" s="740">
        <v>4.0000000000000001E-3</v>
      </c>
      <c r="F19" s="740"/>
    </row>
    <row r="20" spans="2:11" x14ac:dyDescent="0.2">
      <c r="B20" s="242">
        <f t="shared" si="0"/>
        <v>100000</v>
      </c>
      <c r="C20" s="739">
        <v>45063</v>
      </c>
      <c r="D20" s="777">
        <v>100442.04</v>
      </c>
      <c r="E20" s="740">
        <v>4.0000000000000001E-3</v>
      </c>
      <c r="F20" s="740"/>
    </row>
    <row r="21" spans="2:11" x14ac:dyDescent="0.2">
      <c r="B21" s="242">
        <f t="shared" si="0"/>
        <v>100000</v>
      </c>
      <c r="C21" s="739">
        <v>45064</v>
      </c>
      <c r="D21" s="777">
        <v>101789.31</v>
      </c>
      <c r="E21" s="740">
        <v>4.0000000000000001E-3</v>
      </c>
      <c r="F21" s="740"/>
    </row>
    <row r="22" spans="2:11" x14ac:dyDescent="0.2">
      <c r="B22" s="242">
        <f t="shared" si="0"/>
        <v>97582.34</v>
      </c>
      <c r="C22" s="739">
        <v>45065</v>
      </c>
      <c r="D22" s="777">
        <v>97582.34</v>
      </c>
      <c r="E22" s="740">
        <v>3.0000000000000001E-3</v>
      </c>
      <c r="F22" s="740"/>
    </row>
    <row r="23" spans="2:11" x14ac:dyDescent="0.2">
      <c r="B23" s="242">
        <f t="shared" si="0"/>
        <v>100000</v>
      </c>
      <c r="C23" s="739">
        <v>45066</v>
      </c>
      <c r="D23" s="741">
        <v>100570</v>
      </c>
      <c r="E23" s="740">
        <v>4.0000000000000001E-3</v>
      </c>
      <c r="F23" s="740"/>
    </row>
    <row r="24" spans="2:11" x14ac:dyDescent="0.2">
      <c r="B24" s="242">
        <f t="shared" si="0"/>
        <v>100000</v>
      </c>
      <c r="C24" s="739">
        <v>45067</v>
      </c>
      <c r="D24" s="741">
        <v>100570</v>
      </c>
      <c r="E24" s="740">
        <v>4.0000000000000001E-3</v>
      </c>
      <c r="F24" s="740"/>
    </row>
    <row r="25" spans="2:11" x14ac:dyDescent="0.2">
      <c r="B25" s="242">
        <f t="shared" si="0"/>
        <v>100000</v>
      </c>
      <c r="C25" s="739">
        <v>45068</v>
      </c>
      <c r="D25" s="741">
        <v>100570</v>
      </c>
      <c r="E25" s="740">
        <v>4.0000000000000001E-3</v>
      </c>
      <c r="F25" s="740"/>
    </row>
    <row r="26" spans="2:11" x14ac:dyDescent="0.2">
      <c r="B26" s="242">
        <f t="shared" si="0"/>
        <v>3736.71</v>
      </c>
      <c r="C26" s="739">
        <v>45069</v>
      </c>
      <c r="D26" s="777">
        <v>3736.71</v>
      </c>
      <c r="E26" s="740">
        <v>1.5E-3</v>
      </c>
      <c r="F26" s="740"/>
    </row>
    <row r="27" spans="2:11" x14ac:dyDescent="0.2">
      <c r="B27" s="242">
        <f t="shared" si="0"/>
        <v>100000</v>
      </c>
      <c r="C27" s="739">
        <v>45070</v>
      </c>
      <c r="D27" s="741">
        <v>100247</v>
      </c>
      <c r="E27" s="740">
        <v>4.0000000000000001E-3</v>
      </c>
      <c r="F27" s="740"/>
    </row>
    <row r="28" spans="2:11" x14ac:dyDescent="0.2">
      <c r="B28" s="242">
        <f t="shared" si="0"/>
        <v>100000</v>
      </c>
      <c r="C28" s="739">
        <v>45071</v>
      </c>
      <c r="D28" s="741">
        <v>100247</v>
      </c>
      <c r="E28" s="740">
        <v>4.0000000000000001E-3</v>
      </c>
      <c r="F28" s="740"/>
    </row>
    <row r="29" spans="2:11" x14ac:dyDescent="0.2">
      <c r="B29" s="242">
        <f t="shared" si="0"/>
        <v>100000</v>
      </c>
      <c r="C29" s="739">
        <v>45072</v>
      </c>
      <c r="D29" s="741">
        <v>100247</v>
      </c>
      <c r="E29" s="740">
        <v>4.0000000000000001E-3</v>
      </c>
      <c r="F29" s="740"/>
      <c r="H29" s="582" t="s">
        <v>2692</v>
      </c>
      <c r="I29" s="582" t="s">
        <v>2693</v>
      </c>
      <c r="J29" s="582" t="s">
        <v>2798</v>
      </c>
      <c r="K29" s="582" t="s">
        <v>2694</v>
      </c>
    </row>
    <row r="30" spans="2:11" x14ac:dyDescent="0.2">
      <c r="B30" s="242">
        <f t="shared" si="0"/>
        <v>100000</v>
      </c>
      <c r="C30" s="739">
        <v>45073</v>
      </c>
      <c r="D30" s="777">
        <v>100245.71</v>
      </c>
      <c r="E30" s="740">
        <v>4.0000000000000001E-3</v>
      </c>
      <c r="F30" s="740"/>
      <c r="H30" s="740">
        <v>2.5000000000000001E-2</v>
      </c>
      <c r="I30" s="740">
        <v>8.9999999999999993E-3</v>
      </c>
      <c r="J30" s="740">
        <v>8.0000000000000002E-3</v>
      </c>
      <c r="K30" s="740"/>
    </row>
    <row r="31" spans="2:11" x14ac:dyDescent="0.2">
      <c r="B31" s="242">
        <f t="shared" si="0"/>
        <v>100000</v>
      </c>
      <c r="C31" s="739">
        <v>45074</v>
      </c>
      <c r="D31" s="777">
        <v>100245.71</v>
      </c>
      <c r="E31" s="740">
        <v>4.0000000000000001E-3</v>
      </c>
      <c r="F31" s="740"/>
      <c r="H31" s="742">
        <f>$B$35</f>
        <v>82326.412580645163</v>
      </c>
      <c r="I31" s="742">
        <f>$B$35</f>
        <v>82326.412580645163</v>
      </c>
      <c r="J31" s="742">
        <f>$B$35</f>
        <v>82326.412580645163</v>
      </c>
    </row>
    <row r="32" spans="2:11" x14ac:dyDescent="0.2">
      <c r="B32" s="242">
        <f t="shared" si="0"/>
        <v>108</v>
      </c>
      <c r="C32" s="739">
        <v>45075</v>
      </c>
      <c r="D32" s="741">
        <v>108</v>
      </c>
      <c r="E32" s="740">
        <v>1.5E-3</v>
      </c>
      <c r="F32" s="740"/>
      <c r="H32" s="582" t="s">
        <v>2757</v>
      </c>
      <c r="I32" s="582" t="s">
        <v>2757</v>
      </c>
      <c r="J32" s="582" t="s">
        <v>2757</v>
      </c>
      <c r="K32" s="582" t="s">
        <v>2757</v>
      </c>
    </row>
    <row r="33" spans="2:11" x14ac:dyDescent="0.2">
      <c r="B33" s="242">
        <f t="shared" si="0"/>
        <v>100000</v>
      </c>
      <c r="C33" s="739">
        <v>45076</v>
      </c>
      <c r="D33" s="777">
        <v>102560.3</v>
      </c>
      <c r="E33" s="740">
        <v>4.0000000000000001E-3</v>
      </c>
      <c r="F33" s="740"/>
      <c r="H33" s="582">
        <f>H30*H31/365*31</f>
        <v>174.8026568493151</v>
      </c>
      <c r="I33" s="582">
        <f t="shared" ref="I33:J33" si="1">I30*I31/365*31</f>
        <v>62.92895646575343</v>
      </c>
      <c r="J33" s="582">
        <f t="shared" si="1"/>
        <v>55.936850191780827</v>
      </c>
      <c r="K33" s="742">
        <f>D35</f>
        <v>27.868759506849319</v>
      </c>
    </row>
    <row r="34" spans="2:11" x14ac:dyDescent="0.2">
      <c r="B34" s="242">
        <f t="shared" si="0"/>
        <v>100000</v>
      </c>
      <c r="C34" s="739">
        <v>45077</v>
      </c>
      <c r="D34" s="777">
        <v>102586.38</v>
      </c>
      <c r="E34" s="740">
        <v>4.0000000000000001E-3</v>
      </c>
      <c r="F34" s="740"/>
      <c r="G34" s="582" t="s">
        <v>2815</v>
      </c>
      <c r="H34" s="582">
        <v>183.29</v>
      </c>
      <c r="I34" s="582">
        <v>65.98</v>
      </c>
      <c r="J34" s="582">
        <v>58.65</v>
      </c>
      <c r="K34" s="582">
        <v>28.96</v>
      </c>
    </row>
    <row r="35" spans="2:11" x14ac:dyDescent="0.2">
      <c r="B35" s="742">
        <f>AVERAGE(B4:B34)</f>
        <v>82326.412580645163</v>
      </c>
      <c r="D35" s="907">
        <f>SUMPRODUCT(D4:D34,E4:E34)/365</f>
        <v>27.868759506849319</v>
      </c>
      <c r="E35" s="907"/>
      <c r="F35" s="743"/>
    </row>
    <row r="36" spans="2:11" x14ac:dyDescent="0.2">
      <c r="B36" s="737" t="s">
        <v>2820</v>
      </c>
      <c r="D36" s="907" t="s">
        <v>2807</v>
      </c>
      <c r="E36" s="907"/>
      <c r="F36" s="743"/>
    </row>
  </sheetData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4"/>
  <sheetViews>
    <sheetView workbookViewId="0">
      <selection activeCell="I23" sqref="I23"/>
    </sheetView>
  </sheetViews>
  <sheetFormatPr defaultRowHeight="12.75" x14ac:dyDescent="0.2"/>
  <cols>
    <col min="1" max="1" width="0.85546875" style="675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5" bestFit="1" customWidth="1"/>
    <col min="6" max="6" width="5.5703125" style="705" bestFit="1" customWidth="1"/>
    <col min="7" max="8" width="9.7109375" bestFit="1" customWidth="1"/>
    <col min="9" max="9" width="21.140625" bestFit="1" customWidth="1"/>
  </cols>
  <sheetData>
    <row r="2" spans="2:9" s="675" customFormat="1" ht="25.5" x14ac:dyDescent="0.2">
      <c r="B2" s="677" t="s">
        <v>2724</v>
      </c>
      <c r="C2" s="677" t="s">
        <v>311</v>
      </c>
      <c r="D2" s="678" t="s">
        <v>2728</v>
      </c>
      <c r="E2" s="679" t="s">
        <v>2725</v>
      </c>
      <c r="F2" s="679" t="s">
        <v>2759</v>
      </c>
      <c r="G2" s="679" t="s">
        <v>2726</v>
      </c>
      <c r="H2" s="677" t="s">
        <v>460</v>
      </c>
      <c r="I2" s="676" t="s">
        <v>2723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07" t="s">
        <v>2758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08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09" t="s">
        <v>2758</v>
      </c>
      <c r="G5" s="227">
        <f>SUM(B5:E5)</f>
        <v>112574</v>
      </c>
      <c r="H5" s="81">
        <v>43891</v>
      </c>
      <c r="I5" s="63"/>
    </row>
    <row r="6" spans="2:9" s="675" customFormat="1" x14ac:dyDescent="0.2">
      <c r="B6" s="227"/>
      <c r="C6" s="227"/>
      <c r="D6" s="227"/>
      <c r="E6" s="227"/>
      <c r="F6" s="708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9" t="s">
        <v>2758</v>
      </c>
      <c r="G7" s="227">
        <f>SUM(B7:E7)</f>
        <v>112225.48</v>
      </c>
      <c r="H7" s="81">
        <v>44195</v>
      </c>
      <c r="I7" s="63" t="s">
        <v>2729</v>
      </c>
    </row>
    <row r="8" spans="2:9" x14ac:dyDescent="0.2">
      <c r="B8" s="227"/>
      <c r="C8" s="227"/>
      <c r="D8" s="227"/>
      <c r="E8" s="227"/>
      <c r="F8" s="708"/>
      <c r="G8" s="227"/>
      <c r="H8" s="63"/>
      <c r="I8" s="63"/>
    </row>
    <row r="9" spans="2:9" ht="14.25" x14ac:dyDescent="0.2">
      <c r="B9" s="227">
        <f>$B$7</f>
        <v>13108.48</v>
      </c>
      <c r="C9" s="680">
        <v>5000</v>
      </c>
      <c r="D9" s="227">
        <v>84000</v>
      </c>
      <c r="E9" s="227">
        <v>8848</v>
      </c>
      <c r="F9" s="709" t="s">
        <v>2758</v>
      </c>
      <c r="G9" s="680">
        <f>SUM(B9:E9)</f>
        <v>110956.48</v>
      </c>
      <c r="H9" s="81">
        <v>44548</v>
      </c>
      <c r="I9" s="63"/>
    </row>
    <row r="10" spans="2:9" s="675" customFormat="1" x14ac:dyDescent="0.2">
      <c r="B10" s="227"/>
      <c r="C10" s="227" t="s">
        <v>2730</v>
      </c>
      <c r="D10" s="227"/>
      <c r="E10" s="227"/>
      <c r="F10" s="708"/>
      <c r="G10" s="227" t="s">
        <v>2731</v>
      </c>
      <c r="H10" s="81"/>
      <c r="I10" s="63"/>
    </row>
    <row r="11" spans="2:9" s="675" customFormat="1" x14ac:dyDescent="0.2">
      <c r="B11" s="227"/>
      <c r="C11" s="227"/>
      <c r="D11" s="227"/>
      <c r="E11" s="227"/>
      <c r="F11" s="708"/>
      <c r="G11" s="227"/>
      <c r="H11" s="81"/>
      <c r="I11" s="63"/>
    </row>
    <row r="12" spans="2:9" ht="14.25" x14ac:dyDescent="0.2">
      <c r="B12" s="227">
        <f t="shared" ref="B12:B22" si="0">$B$7</f>
        <v>13108.48</v>
      </c>
      <c r="C12" s="227">
        <v>1000</v>
      </c>
      <c r="D12" s="227">
        <v>89000</v>
      </c>
      <c r="E12" s="227">
        <v>8672</v>
      </c>
      <c r="F12" s="709" t="s">
        <v>2758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9" t="s">
        <v>2758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9" t="s">
        <v>2758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9" t="s">
        <v>2758</v>
      </c>
      <c r="G15" s="227">
        <f t="shared" si="1"/>
        <v>108175.48</v>
      </c>
      <c r="H15" s="81">
        <v>44701</v>
      </c>
      <c r="I15" s="63" t="s">
        <v>2734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9" t="s">
        <v>2758</v>
      </c>
      <c r="G16" s="227">
        <f t="shared" si="1"/>
        <v>109985.48</v>
      </c>
      <c r="H16" s="81">
        <v>44728</v>
      </c>
      <c r="I16" s="63" t="s">
        <v>2735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9" t="s">
        <v>2758</v>
      </c>
      <c r="G17" s="227">
        <f t="shared" si="1"/>
        <v>105859.48</v>
      </c>
      <c r="H17" s="81">
        <v>44788</v>
      </c>
      <c r="I17" s="63" t="s">
        <v>2727</v>
      </c>
    </row>
    <row r="18" spans="2:9" s="675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9" t="s">
        <v>2758</v>
      </c>
      <c r="G18" s="227">
        <f t="shared" ref="G18:G19" si="2">SUM(B18:E18)</f>
        <v>102207.48</v>
      </c>
      <c r="H18" s="81">
        <v>44851</v>
      </c>
      <c r="I18" s="63"/>
    </row>
    <row r="19" spans="2:9" s="675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9" t="s">
        <v>2758</v>
      </c>
      <c r="G19" s="227">
        <f t="shared" si="2"/>
        <v>100303.48</v>
      </c>
      <c r="H19" s="81">
        <v>44880</v>
      </c>
      <c r="I19" s="63"/>
    </row>
    <row r="20" spans="2:9" s="675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9" t="s">
        <v>2758</v>
      </c>
      <c r="G20" s="227">
        <f>SUM(B20:E20)</f>
        <v>98359.48</v>
      </c>
      <c r="H20" s="81">
        <v>44910</v>
      </c>
      <c r="I20" s="63" t="s">
        <v>2727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9" t="s">
        <v>2758</v>
      </c>
      <c r="G21" s="227">
        <f>SUM(B21:E21)</f>
        <v>99108.479999999996</v>
      </c>
      <c r="H21" s="81">
        <v>45000</v>
      </c>
      <c r="I21" s="63"/>
    </row>
    <row r="22" spans="2:9" ht="14.25" x14ac:dyDescent="0.2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9" t="s">
        <v>2758</v>
      </c>
      <c r="G22" s="227">
        <f>SUM(B22:E22)</f>
        <v>100108.48</v>
      </c>
      <c r="H22" s="81">
        <v>45000</v>
      </c>
      <c r="I22" s="63" t="s">
        <v>2852</v>
      </c>
    </row>
    <row r="23" spans="2:9" x14ac:dyDescent="0.2">
      <c r="B23" s="63"/>
      <c r="C23" s="63"/>
      <c r="D23" s="63"/>
      <c r="E23" s="63"/>
      <c r="F23" s="773"/>
      <c r="G23" s="63"/>
      <c r="H23" s="63"/>
      <c r="I23" s="63"/>
    </row>
    <row r="24" spans="2:9" x14ac:dyDescent="0.2">
      <c r="B24" s="63"/>
      <c r="C24" s="63"/>
      <c r="D24" s="63"/>
      <c r="E24" s="63"/>
      <c r="F24" s="773"/>
      <c r="G24" s="63"/>
      <c r="H24" s="63"/>
      <c r="I24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908" t="s">
        <v>1897</v>
      </c>
      <c r="D3" s="908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909" t="s">
        <v>2080</v>
      </c>
      <c r="C2" s="909"/>
      <c r="D2" s="910" t="s">
        <v>1875</v>
      </c>
      <c r="E2" s="910"/>
      <c r="F2" s="471"/>
      <c r="G2" s="471"/>
      <c r="H2" s="378"/>
      <c r="I2" s="913" t="s">
        <v>2257</v>
      </c>
      <c r="J2" s="914"/>
      <c r="K2" s="914"/>
      <c r="L2" s="914"/>
      <c r="M2" s="914"/>
      <c r="N2" s="914"/>
      <c r="O2" s="915"/>
      <c r="P2" s="438"/>
      <c r="Q2" s="916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921" t="s">
        <v>2283</v>
      </c>
      <c r="G3" s="922"/>
      <c r="H3" s="378"/>
      <c r="I3" s="433"/>
      <c r="J3" s="472"/>
      <c r="K3" s="918" t="s">
        <v>2425</v>
      </c>
      <c r="L3" s="919"/>
      <c r="M3" s="920"/>
      <c r="N3" s="476"/>
      <c r="O3" s="430"/>
      <c r="P3" s="470"/>
      <c r="Q3" s="917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911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911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12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12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6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834" t="s">
        <v>124</v>
      </c>
      <c r="C1" s="834"/>
      <c r="D1" s="838" t="s">
        <v>292</v>
      </c>
      <c r="E1" s="838"/>
      <c r="F1" s="838" t="s">
        <v>341</v>
      </c>
      <c r="G1" s="838"/>
      <c r="H1" s="835" t="s">
        <v>127</v>
      </c>
      <c r="I1" s="835"/>
      <c r="J1" s="836" t="s">
        <v>292</v>
      </c>
      <c r="K1" s="836"/>
      <c r="L1" s="837" t="s">
        <v>520</v>
      </c>
      <c r="M1" s="837"/>
      <c r="N1" s="835" t="s">
        <v>146</v>
      </c>
      <c r="O1" s="835"/>
      <c r="P1" s="836" t="s">
        <v>293</v>
      </c>
      <c r="Q1" s="836"/>
      <c r="R1" s="837" t="s">
        <v>522</v>
      </c>
      <c r="S1" s="837"/>
      <c r="T1" s="823" t="s">
        <v>193</v>
      </c>
      <c r="U1" s="823"/>
      <c r="V1" s="836" t="s">
        <v>292</v>
      </c>
      <c r="W1" s="836"/>
      <c r="X1" s="825" t="s">
        <v>524</v>
      </c>
      <c r="Y1" s="825"/>
      <c r="Z1" s="823" t="s">
        <v>241</v>
      </c>
      <c r="AA1" s="823"/>
      <c r="AB1" s="824" t="s">
        <v>292</v>
      </c>
      <c r="AC1" s="824"/>
      <c r="AD1" s="833" t="s">
        <v>524</v>
      </c>
      <c r="AE1" s="833"/>
      <c r="AF1" s="823" t="s">
        <v>367</v>
      </c>
      <c r="AG1" s="823"/>
      <c r="AH1" s="824" t="s">
        <v>292</v>
      </c>
      <c r="AI1" s="824"/>
      <c r="AJ1" s="825" t="s">
        <v>530</v>
      </c>
      <c r="AK1" s="825"/>
      <c r="AL1" s="823" t="s">
        <v>389</v>
      </c>
      <c r="AM1" s="823"/>
      <c r="AN1" s="831" t="s">
        <v>292</v>
      </c>
      <c r="AO1" s="831"/>
      <c r="AP1" s="829" t="s">
        <v>531</v>
      </c>
      <c r="AQ1" s="829"/>
      <c r="AR1" s="823" t="s">
        <v>416</v>
      </c>
      <c r="AS1" s="823"/>
      <c r="AV1" s="829" t="s">
        <v>285</v>
      </c>
      <c r="AW1" s="829"/>
      <c r="AX1" s="832" t="s">
        <v>998</v>
      </c>
      <c r="AY1" s="832"/>
      <c r="AZ1" s="832"/>
      <c r="BA1" s="208"/>
      <c r="BB1" s="827">
        <v>42942</v>
      </c>
      <c r="BC1" s="828"/>
      <c r="BD1" s="828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26" t="s">
        <v>261</v>
      </c>
      <c r="U4" s="826"/>
      <c r="X4" s="119" t="s">
        <v>233</v>
      </c>
      <c r="Y4" s="123">
        <f>Y3-Y6</f>
        <v>4.9669099999591708</v>
      </c>
      <c r="Z4" s="826" t="s">
        <v>262</v>
      </c>
      <c r="AA4" s="826"/>
      <c r="AD4" s="154" t="s">
        <v>233</v>
      </c>
      <c r="AE4" s="154">
        <f>AE3-AE5</f>
        <v>-52.526899999851594</v>
      </c>
      <c r="AF4" s="826" t="s">
        <v>262</v>
      </c>
      <c r="AG4" s="826"/>
      <c r="AH4" s="143"/>
      <c r="AI4" s="143"/>
      <c r="AJ4" s="154" t="s">
        <v>233</v>
      </c>
      <c r="AK4" s="154">
        <f>AK3-AK5</f>
        <v>94.988909999992757</v>
      </c>
      <c r="AL4" s="826" t="s">
        <v>262</v>
      </c>
      <c r="AM4" s="826"/>
      <c r="AP4" s="170" t="s">
        <v>233</v>
      </c>
      <c r="AQ4" s="174">
        <f>AQ3-AQ5</f>
        <v>33.841989999942598</v>
      </c>
      <c r="AR4" s="826" t="s">
        <v>262</v>
      </c>
      <c r="AS4" s="826"/>
      <c r="AX4" s="826" t="s">
        <v>564</v>
      </c>
      <c r="AY4" s="826"/>
      <c r="BB4" s="826" t="s">
        <v>567</v>
      </c>
      <c r="BC4" s="826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26"/>
      <c r="U5" s="826"/>
      <c r="V5" s="3" t="s">
        <v>258</v>
      </c>
      <c r="W5">
        <v>2050</v>
      </c>
      <c r="X5" s="82"/>
      <c r="Z5" s="826"/>
      <c r="AA5" s="826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26"/>
      <c r="AG5" s="826"/>
      <c r="AH5" s="143"/>
      <c r="AI5" s="143"/>
      <c r="AJ5" s="154" t="s">
        <v>352</v>
      </c>
      <c r="AK5" s="162">
        <f>SUM(AK11:AK59)</f>
        <v>30858.011000000002</v>
      </c>
      <c r="AL5" s="826"/>
      <c r="AM5" s="826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26"/>
      <c r="AS5" s="826"/>
      <c r="AX5" s="826"/>
      <c r="AY5" s="826"/>
      <c r="BB5" s="826"/>
      <c r="BC5" s="826"/>
      <c r="BD5" s="830" t="s">
        <v>999</v>
      </c>
      <c r="BE5" s="830"/>
      <c r="BF5" s="830"/>
      <c r="BG5" s="830"/>
      <c r="BH5" s="830"/>
      <c r="BI5" s="830"/>
      <c r="BJ5" s="830"/>
      <c r="BK5" s="830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39" t="s">
        <v>264</v>
      </c>
      <c r="W23" s="840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41"/>
      <c r="W24" s="842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2574</v>
      </c>
      <c r="E3" s="256"/>
      <c r="F3" s="256"/>
      <c r="G3" s="843" t="s">
        <v>2670</v>
      </c>
      <c r="H3" s="844"/>
      <c r="I3" s="592"/>
      <c r="J3" s="843" t="s">
        <v>2671</v>
      </c>
      <c r="K3" s="844"/>
      <c r="L3" s="299"/>
      <c r="M3" s="843">
        <v>43739</v>
      </c>
      <c r="N3" s="844"/>
      <c r="O3" s="843">
        <v>42401</v>
      </c>
      <c r="P3" s="844"/>
    </row>
    <row r="4" spans="2:16" x14ac:dyDescent="0.2">
      <c r="B4" s="63" t="s">
        <v>322</v>
      </c>
      <c r="C4" s="71" t="s">
        <v>2580</v>
      </c>
      <c r="D4" s="63" t="s">
        <v>1037</v>
      </c>
      <c r="E4" s="63" t="s">
        <v>309</v>
      </c>
      <c r="F4" s="63" t="s">
        <v>1183</v>
      </c>
      <c r="G4" s="596"/>
      <c r="H4" s="651">
        <f>K4</f>
        <v>20000</v>
      </c>
      <c r="I4" s="227"/>
      <c r="J4" s="596"/>
      <c r="K4" s="600">
        <f>N4</f>
        <v>20000</v>
      </c>
      <c r="L4" s="227"/>
      <c r="M4" s="596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2580</v>
      </c>
      <c r="D5" s="71" t="s">
        <v>1037</v>
      </c>
      <c r="E5" s="63" t="s">
        <v>2581</v>
      </c>
      <c r="F5" s="63" t="s">
        <v>1183</v>
      </c>
      <c r="G5" s="596"/>
      <c r="H5" s="227">
        <f>300*6</f>
        <v>1800</v>
      </c>
      <c r="I5" s="227"/>
      <c r="J5" s="596"/>
      <c r="K5" s="600">
        <f>N5</f>
        <v>1200</v>
      </c>
      <c r="L5" s="227"/>
      <c r="M5" s="596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2580</v>
      </c>
      <c r="D6" s="71" t="s">
        <v>1044</v>
      </c>
      <c r="E6" s="63" t="s">
        <v>2584</v>
      </c>
      <c r="F6" s="63" t="s">
        <v>1183</v>
      </c>
      <c r="G6" s="596" t="s">
        <v>2703</v>
      </c>
      <c r="H6" s="227">
        <v>32000</v>
      </c>
      <c r="I6" s="227"/>
      <c r="J6" s="596"/>
      <c r="K6" s="227">
        <v>0</v>
      </c>
      <c r="L6" s="227"/>
      <c r="M6" s="596"/>
      <c r="N6" s="227">
        <v>0</v>
      </c>
      <c r="O6" s="63"/>
      <c r="P6" s="63"/>
    </row>
    <row r="7" spans="2:16" s="589" customFormat="1" x14ac:dyDescent="0.2">
      <c r="B7" s="63" t="s">
        <v>315</v>
      </c>
      <c r="C7" s="71" t="s">
        <v>315</v>
      </c>
      <c r="D7" s="71" t="s">
        <v>1044</v>
      </c>
      <c r="E7" s="63" t="s">
        <v>2583</v>
      </c>
      <c r="F7" s="63" t="s">
        <v>1183</v>
      </c>
      <c r="G7" s="596"/>
      <c r="H7" s="227" t="s">
        <v>2702</v>
      </c>
      <c r="I7" s="227"/>
      <c r="J7" s="596"/>
      <c r="K7" s="227">
        <v>564</v>
      </c>
      <c r="L7" s="227"/>
      <c r="M7" s="596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2636</v>
      </c>
      <c r="F8" s="63" t="s">
        <v>1183</v>
      </c>
      <c r="G8" s="596"/>
      <c r="H8" s="227">
        <v>1500</v>
      </c>
      <c r="I8" s="227"/>
      <c r="J8" s="596"/>
      <c r="K8" s="227">
        <v>1642</v>
      </c>
      <c r="L8" s="227"/>
      <c r="M8" s="596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2585</v>
      </c>
      <c r="F9" s="63" t="s">
        <v>327</v>
      </c>
      <c r="G9" s="596"/>
      <c r="H9" s="227">
        <v>1500</v>
      </c>
      <c r="I9" s="227"/>
      <c r="J9" s="596"/>
      <c r="K9" s="227">
        <v>2031</v>
      </c>
      <c r="L9" s="227"/>
      <c r="M9" s="596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2586</v>
      </c>
      <c r="F10" s="63" t="s">
        <v>1183</v>
      </c>
      <c r="G10" s="596"/>
      <c r="H10" s="227">
        <f>14300+2000</f>
        <v>16300</v>
      </c>
      <c r="I10" s="227"/>
      <c r="J10" s="596"/>
      <c r="K10" s="227">
        <v>57781</v>
      </c>
      <c r="L10" s="227"/>
      <c r="M10" s="596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2565</v>
      </c>
      <c r="F11" s="63" t="s">
        <v>2569</v>
      </c>
      <c r="G11" s="596"/>
      <c r="H11" s="227" t="s">
        <v>2672</v>
      </c>
      <c r="I11" s="227"/>
      <c r="J11" s="596"/>
      <c r="K11" s="227">
        <v>-46000</v>
      </c>
      <c r="L11" s="227"/>
      <c r="M11" s="596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6"/>
      <c r="H12" s="227">
        <v>0</v>
      </c>
      <c r="I12" s="227"/>
      <c r="J12" s="596"/>
      <c r="K12" s="598">
        <f>N12</f>
        <v>20000</v>
      </c>
      <c r="L12" s="227"/>
      <c r="M12" s="596"/>
      <c r="N12" s="227">
        <v>20000</v>
      </c>
      <c r="O12" s="63"/>
      <c r="P12" s="63"/>
    </row>
    <row r="13" spans="2:16" s="630" customFormat="1" x14ac:dyDescent="0.2">
      <c r="B13" s="63" t="s">
        <v>315</v>
      </c>
      <c r="C13" s="71" t="s">
        <v>315</v>
      </c>
      <c r="D13" s="71" t="s">
        <v>1044</v>
      </c>
      <c r="E13" s="63" t="s">
        <v>2635</v>
      </c>
      <c r="F13" s="63" t="s">
        <v>1183</v>
      </c>
      <c r="G13" s="596"/>
      <c r="H13" s="227">
        <v>0</v>
      </c>
      <c r="I13" s="227"/>
      <c r="J13" s="596"/>
      <c r="K13" s="598"/>
      <c r="L13" s="227"/>
      <c r="M13" s="596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2669</v>
      </c>
      <c r="E14" s="63" t="s">
        <v>843</v>
      </c>
      <c r="F14" s="63" t="s">
        <v>1183</v>
      </c>
      <c r="G14" s="596"/>
      <c r="H14" s="651">
        <v>2500</v>
      </c>
      <c r="I14" s="227"/>
      <c r="J14" s="596"/>
      <c r="K14" s="600">
        <f>N14</f>
        <v>2500</v>
      </c>
      <c r="L14" s="227"/>
      <c r="M14" s="596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2669</v>
      </c>
      <c r="E15" s="63" t="s">
        <v>863</v>
      </c>
      <c r="F15" s="63" t="s">
        <v>1183</v>
      </c>
      <c r="G15" s="596"/>
      <c r="H15" s="651">
        <v>5000</v>
      </c>
      <c r="I15" s="227"/>
      <c r="J15" s="596"/>
      <c r="K15" s="600">
        <f>N15</f>
        <v>5000</v>
      </c>
      <c r="L15" s="227"/>
      <c r="M15" s="596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2669</v>
      </c>
      <c r="E16" s="63" t="s">
        <v>871</v>
      </c>
      <c r="F16" s="71" t="s">
        <v>1183</v>
      </c>
      <c r="G16" s="596"/>
      <c r="H16" s="227">
        <v>13400</v>
      </c>
      <c r="I16" s="227"/>
      <c r="J16" s="596"/>
      <c r="K16" s="227">
        <v>1300</v>
      </c>
      <c r="L16" s="227"/>
      <c r="M16" s="596"/>
      <c r="N16" s="227">
        <v>900</v>
      </c>
      <c r="O16" s="63"/>
      <c r="P16" s="63"/>
    </row>
    <row r="17" spans="2:16" s="590" customFormat="1" x14ac:dyDescent="0.2">
      <c r="B17" s="63" t="s">
        <v>322</v>
      </c>
      <c r="C17" s="71" t="s">
        <v>315</v>
      </c>
      <c r="D17" s="71" t="s">
        <v>2669</v>
      </c>
      <c r="E17" s="63" t="s">
        <v>2555</v>
      </c>
      <c r="F17" s="71" t="s">
        <v>1183</v>
      </c>
      <c r="G17" s="596"/>
      <c r="H17" s="651">
        <v>5000</v>
      </c>
      <c r="I17" s="227"/>
      <c r="J17" s="596"/>
      <c r="K17" s="600">
        <f>N17</f>
        <v>5000</v>
      </c>
      <c r="L17" s="227"/>
      <c r="M17" s="596"/>
      <c r="N17" s="227">
        <v>5000</v>
      </c>
      <c r="O17" s="63"/>
      <c r="P17" s="63"/>
    </row>
    <row r="18" spans="2:16" ht="13.15" customHeight="1" x14ac:dyDescent="0.2">
      <c r="B18" s="63"/>
      <c r="C18" s="849" t="s">
        <v>2590</v>
      </c>
      <c r="D18" s="71" t="s">
        <v>2669</v>
      </c>
      <c r="E18" s="63" t="s">
        <v>2576</v>
      </c>
      <c r="F18" s="63" t="s">
        <v>1183</v>
      </c>
      <c r="G18" s="596"/>
      <c r="H18" s="651">
        <f>N18</f>
        <v>90000</v>
      </c>
      <c r="I18" s="227"/>
      <c r="J18" s="596"/>
      <c r="K18" s="600">
        <f>N18</f>
        <v>90000</v>
      </c>
      <c r="L18" s="227"/>
      <c r="M18" s="596"/>
      <c r="N18" s="227">
        <v>90000</v>
      </c>
      <c r="O18" s="63"/>
      <c r="P18" s="227">
        <v>90000</v>
      </c>
    </row>
    <row r="19" spans="2:16" x14ac:dyDescent="0.2">
      <c r="B19" s="63"/>
      <c r="C19" s="850"/>
      <c r="D19" s="71" t="s">
        <v>2669</v>
      </c>
      <c r="E19" s="63" t="s">
        <v>2578</v>
      </c>
      <c r="F19" s="63" t="s">
        <v>1183</v>
      </c>
      <c r="G19" s="596"/>
      <c r="H19" s="227">
        <f>N19+169000</f>
        <v>439000</v>
      </c>
      <c r="I19" s="227"/>
      <c r="J19" s="596"/>
      <c r="K19" s="227">
        <f>N19+169000*40%</f>
        <v>337600</v>
      </c>
      <c r="L19" s="227"/>
      <c r="M19" s="596"/>
      <c r="N19" s="227">
        <v>270000</v>
      </c>
      <c r="O19" s="63"/>
      <c r="P19" s="63"/>
    </row>
    <row r="20" spans="2:16" x14ac:dyDescent="0.2">
      <c r="B20" s="63" t="s">
        <v>315</v>
      </c>
      <c r="C20" s="850"/>
      <c r="D20" s="71" t="s">
        <v>2669</v>
      </c>
      <c r="E20" s="63" t="s">
        <v>2577</v>
      </c>
      <c r="F20" s="63" t="s">
        <v>327</v>
      </c>
      <c r="G20" s="596">
        <f>750000-415000</f>
        <v>335000</v>
      </c>
      <c r="H20" s="227"/>
      <c r="I20" s="227"/>
      <c r="J20" s="601">
        <f>M20</f>
        <v>600000</v>
      </c>
      <c r="K20" s="227"/>
      <c r="L20" s="227"/>
      <c r="M20" s="597">
        <v>600000</v>
      </c>
      <c r="N20" s="227"/>
      <c r="O20" s="597">
        <f>600000-154000</f>
        <v>446000</v>
      </c>
      <c r="P20" s="63"/>
    </row>
    <row r="21" spans="2:16" x14ac:dyDescent="0.2">
      <c r="B21" s="63" t="s">
        <v>315</v>
      </c>
      <c r="C21" s="850"/>
      <c r="D21" s="71" t="s">
        <v>2669</v>
      </c>
      <c r="E21" s="63" t="s">
        <v>2575</v>
      </c>
      <c r="F21" s="63" t="s">
        <v>1183</v>
      </c>
      <c r="G21" s="650">
        <f>200000</f>
        <v>200000</v>
      </c>
      <c r="H21" s="227"/>
      <c r="I21" s="227"/>
      <c r="J21" s="601">
        <f>M21</f>
        <v>200000</v>
      </c>
      <c r="K21" s="227"/>
      <c r="L21" s="227"/>
      <c r="M21" s="597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850"/>
      <c r="D22" s="71" t="s">
        <v>1038</v>
      </c>
      <c r="E22" s="63" t="s">
        <v>1185</v>
      </c>
      <c r="F22" s="63" t="s">
        <v>1184</v>
      </c>
      <c r="G22" s="597">
        <f>1000+15000+18000</f>
        <v>34000</v>
      </c>
      <c r="H22" s="227"/>
      <c r="I22" s="227"/>
      <c r="J22" s="597">
        <f>37303+14272+15932</f>
        <v>67507</v>
      </c>
      <c r="K22" s="227"/>
      <c r="L22" s="227"/>
      <c r="M22" s="597">
        <f>(35+13+14)*1000</f>
        <v>62000</v>
      </c>
      <c r="N22" s="227"/>
      <c r="O22" s="712">
        <v>5000</v>
      </c>
      <c r="P22" s="63"/>
    </row>
    <row r="23" spans="2:16" x14ac:dyDescent="0.2">
      <c r="B23" s="63" t="s">
        <v>315</v>
      </c>
      <c r="C23" s="850"/>
      <c r="D23" s="71" t="s">
        <v>1044</v>
      </c>
      <c r="E23" s="63" t="s">
        <v>1036</v>
      </c>
      <c r="F23" s="63" t="s">
        <v>1183</v>
      </c>
      <c r="G23" s="649">
        <f>205000+68000</f>
        <v>273000</v>
      </c>
      <c r="H23" s="227"/>
      <c r="I23" s="227"/>
      <c r="J23" s="596">
        <f>57247+54415</f>
        <v>111662</v>
      </c>
      <c r="K23" s="227"/>
      <c r="L23" s="227"/>
      <c r="M23" s="596">
        <f>51797+50452</f>
        <v>102249</v>
      </c>
      <c r="N23" s="227"/>
      <c r="O23" s="597">
        <v>78000</v>
      </c>
      <c r="P23" s="63"/>
    </row>
    <row r="24" spans="2:16" x14ac:dyDescent="0.2">
      <c r="B24" s="63" t="s">
        <v>315</v>
      </c>
      <c r="C24" s="850"/>
      <c r="D24" s="71" t="s">
        <v>1044</v>
      </c>
      <c r="E24" s="63" t="s">
        <v>2558</v>
      </c>
      <c r="F24" s="63" t="s">
        <v>1183</v>
      </c>
      <c r="G24" s="599">
        <f>(113000+20000)+8000</f>
        <v>141000</v>
      </c>
      <c r="H24" s="227"/>
      <c r="I24" s="227"/>
      <c r="J24" s="597">
        <v>24201</v>
      </c>
      <c r="K24" s="227"/>
      <c r="L24" s="227"/>
      <c r="M24" s="597">
        <v>17000</v>
      </c>
      <c r="N24" s="227"/>
      <c r="O24" s="712">
        <v>142000</v>
      </c>
      <c r="P24" s="63"/>
    </row>
    <row r="25" spans="2:16" x14ac:dyDescent="0.2">
      <c r="B25" s="63" t="s">
        <v>322</v>
      </c>
      <c r="C25" s="850"/>
      <c r="D25" s="63" t="s">
        <v>1182</v>
      </c>
      <c r="E25" s="63" t="s">
        <v>1181</v>
      </c>
      <c r="F25" s="63" t="s">
        <v>1184</v>
      </c>
      <c r="G25" s="650">
        <v>5000</v>
      </c>
      <c r="H25" s="227"/>
      <c r="I25" s="227"/>
      <c r="J25" s="652">
        <v>5000</v>
      </c>
      <c r="K25" s="227"/>
      <c r="L25" s="227"/>
      <c r="M25" s="596">
        <v>5000</v>
      </c>
      <c r="N25" s="227"/>
      <c r="O25" s="63"/>
      <c r="P25" s="63"/>
    </row>
    <row r="26" spans="2:16" s="594" customFormat="1" x14ac:dyDescent="0.2">
      <c r="B26" s="63" t="s">
        <v>2556</v>
      </c>
      <c r="C26" s="851"/>
      <c r="D26" s="71" t="s">
        <v>2669</v>
      </c>
      <c r="E26" s="63" t="s">
        <v>2588</v>
      </c>
      <c r="F26" s="63" t="s">
        <v>327</v>
      </c>
      <c r="G26" s="597">
        <f>15000*3</f>
        <v>45000</v>
      </c>
      <c r="H26" s="227"/>
      <c r="I26" s="227"/>
      <c r="J26" s="601">
        <v>0</v>
      </c>
      <c r="K26" s="227"/>
      <c r="L26" s="227"/>
      <c r="M26" s="597">
        <v>0</v>
      </c>
      <c r="N26" s="227"/>
      <c r="O26" s="63"/>
      <c r="P26" s="63"/>
    </row>
    <row r="27" spans="2:16" x14ac:dyDescent="0.2">
      <c r="B27" s="63" t="s">
        <v>2556</v>
      </c>
      <c r="C27" s="71" t="s">
        <v>314</v>
      </c>
      <c r="D27" s="71" t="s">
        <v>2669</v>
      </c>
      <c r="E27" s="63" t="s">
        <v>2579</v>
      </c>
      <c r="F27" s="63" t="s">
        <v>1183</v>
      </c>
      <c r="G27" s="597" t="s">
        <v>2557</v>
      </c>
      <c r="H27" s="227"/>
      <c r="I27" s="227"/>
      <c r="J27" s="601">
        <f>M27</f>
        <v>20000</v>
      </c>
      <c r="K27" s="227"/>
      <c r="L27" s="227"/>
      <c r="M27" s="597">
        <v>20000</v>
      </c>
      <c r="N27" s="227"/>
      <c r="O27" s="597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2571</v>
      </c>
      <c r="F28" s="63" t="s">
        <v>1184</v>
      </c>
      <c r="G28" s="597">
        <v>1000</v>
      </c>
      <c r="H28" s="227" t="s">
        <v>2560</v>
      </c>
      <c r="I28" s="227"/>
      <c r="J28" s="597">
        <v>92574</v>
      </c>
      <c r="K28" s="227"/>
      <c r="L28" s="227"/>
      <c r="M28" s="597">
        <v>102000</v>
      </c>
      <c r="N28" s="227"/>
      <c r="O28" s="712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2669</v>
      </c>
      <c r="E29" s="63" t="s">
        <v>2567</v>
      </c>
      <c r="F29" s="63" t="s">
        <v>1183</v>
      </c>
      <c r="G29" s="597">
        <v>40000</v>
      </c>
      <c r="H29" s="227"/>
      <c r="I29" s="227"/>
      <c r="J29" s="597">
        <v>27907</v>
      </c>
      <c r="K29" s="227"/>
      <c r="L29" s="227"/>
      <c r="M29" s="597">
        <v>6000</v>
      </c>
      <c r="N29" s="227"/>
      <c r="O29" s="712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2573</v>
      </c>
      <c r="F30" s="63" t="s">
        <v>1183</v>
      </c>
      <c r="G30" s="597">
        <v>2000</v>
      </c>
      <c r="H30" s="227"/>
      <c r="I30" s="227"/>
      <c r="J30" s="597">
        <v>28176</v>
      </c>
      <c r="K30" s="227"/>
      <c r="L30" s="227"/>
      <c r="M30" s="597">
        <v>20000</v>
      </c>
      <c r="N30" s="227"/>
      <c r="O30" s="63"/>
      <c r="P30" s="63"/>
    </row>
    <row r="31" spans="2:16" s="590" customFormat="1" x14ac:dyDescent="0.2">
      <c r="B31" s="63" t="s">
        <v>315</v>
      </c>
      <c r="C31" s="71" t="s">
        <v>315</v>
      </c>
      <c r="D31" s="71" t="s">
        <v>1044</v>
      </c>
      <c r="E31" s="63" t="s">
        <v>2572</v>
      </c>
      <c r="F31" s="63" t="s">
        <v>1183</v>
      </c>
      <c r="G31" s="597">
        <f>176000</f>
        <v>176000</v>
      </c>
      <c r="H31" s="227"/>
      <c r="I31" s="227"/>
      <c r="J31" s="601">
        <v>0</v>
      </c>
      <c r="K31" s="227"/>
      <c r="L31" s="227"/>
      <c r="M31" s="597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5" t="s">
        <v>1882</v>
      </c>
      <c r="F32" s="63" t="s">
        <v>1184</v>
      </c>
      <c r="G32" s="599">
        <v>9000</v>
      </c>
      <c r="H32" s="227"/>
      <c r="I32" s="227"/>
      <c r="J32" s="597">
        <v>20000</v>
      </c>
      <c r="K32" s="227"/>
      <c r="L32" s="227"/>
      <c r="M32" s="597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852" t="s">
        <v>1182</v>
      </c>
      <c r="E33" s="615" t="s">
        <v>2637</v>
      </c>
      <c r="F33" s="183" t="s">
        <v>2609</v>
      </c>
      <c r="G33" s="599">
        <v>598000</v>
      </c>
      <c r="H33" s="227"/>
      <c r="I33" s="227"/>
      <c r="J33" s="597">
        <f>27564</f>
        <v>27564</v>
      </c>
      <c r="K33" s="227"/>
      <c r="L33" s="227"/>
      <c r="M33" s="597">
        <v>20000</v>
      </c>
      <c r="N33" s="227"/>
      <c r="O33" s="712">
        <v>20000</v>
      </c>
      <c r="P33" s="63"/>
    </row>
    <row r="34" spans="2:16" s="630" customFormat="1" x14ac:dyDescent="0.2">
      <c r="B34" s="63"/>
      <c r="C34" s="71"/>
      <c r="D34" s="853"/>
      <c r="E34" s="615" t="s">
        <v>2638</v>
      </c>
      <c r="F34" s="183" t="s">
        <v>1183</v>
      </c>
      <c r="G34" s="597">
        <f>-140000</f>
        <v>-140000</v>
      </c>
      <c r="H34" s="227"/>
      <c r="I34" s="227"/>
      <c r="J34" s="597"/>
      <c r="K34" s="227"/>
      <c r="L34" s="227"/>
      <c r="M34" s="597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2565</v>
      </c>
      <c r="F35" s="71" t="s">
        <v>2569</v>
      </c>
      <c r="G35" s="597" t="s">
        <v>2566</v>
      </c>
      <c r="H35" s="227"/>
      <c r="I35" s="227"/>
      <c r="J35" s="597">
        <v>-30000</v>
      </c>
      <c r="K35" s="227"/>
      <c r="L35" s="227"/>
      <c r="M35" s="597">
        <v>-40000</v>
      </c>
      <c r="N35" s="227"/>
      <c r="O35" s="597">
        <v>-30000</v>
      </c>
      <c r="P35" s="63"/>
    </row>
    <row r="36" spans="2:16" s="614" customFormat="1" x14ac:dyDescent="0.2">
      <c r="B36" s="63"/>
      <c r="C36" s="71"/>
      <c r="D36" s="71" t="s">
        <v>1037</v>
      </c>
      <c r="E36" s="615" t="s">
        <v>2612</v>
      </c>
      <c r="F36" s="183" t="s">
        <v>1183</v>
      </c>
      <c r="G36" s="599" t="s">
        <v>2666</v>
      </c>
      <c r="H36" s="227"/>
      <c r="I36" s="227"/>
      <c r="J36" s="601">
        <v>0</v>
      </c>
      <c r="K36" s="227"/>
      <c r="L36" s="227"/>
      <c r="M36" s="597">
        <v>0</v>
      </c>
      <c r="N36" s="227"/>
      <c r="O36" s="63"/>
      <c r="P36" s="63"/>
    </row>
    <row r="37" spans="2:16" s="627" customFormat="1" x14ac:dyDescent="0.2">
      <c r="B37" s="63" t="s">
        <v>315</v>
      </c>
      <c r="C37" s="71" t="s">
        <v>315</v>
      </c>
      <c r="D37" s="71" t="s">
        <v>1182</v>
      </c>
      <c r="E37" s="615" t="s">
        <v>2634</v>
      </c>
      <c r="F37" s="63" t="s">
        <v>1183</v>
      </c>
      <c r="G37" s="597">
        <v>16000</v>
      </c>
      <c r="H37" s="227"/>
      <c r="I37" s="227"/>
      <c r="J37" s="597"/>
      <c r="K37" s="227"/>
      <c r="L37" s="227"/>
      <c r="M37" s="597"/>
      <c r="N37" s="227"/>
      <c r="O37" s="63"/>
      <c r="P37" s="63"/>
    </row>
    <row r="38" spans="2:16" s="614" customFormat="1" x14ac:dyDescent="0.2">
      <c r="B38" s="63"/>
      <c r="C38" s="71"/>
      <c r="D38" s="71"/>
      <c r="E38" s="63" t="s">
        <v>2610</v>
      </c>
      <c r="F38" s="71" t="s">
        <v>2569</v>
      </c>
      <c r="G38" s="597" t="s">
        <v>2611</v>
      </c>
      <c r="H38" s="227"/>
      <c r="I38" s="227"/>
      <c r="J38" s="597" t="s">
        <v>427</v>
      </c>
      <c r="K38" s="227"/>
      <c r="L38" s="227"/>
      <c r="M38" s="597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2568</v>
      </c>
      <c r="F39" s="63" t="s">
        <v>1184</v>
      </c>
      <c r="G39" s="597" t="s">
        <v>330</v>
      </c>
      <c r="H39" s="227"/>
      <c r="I39" s="227"/>
      <c r="J39" s="597" t="s">
        <v>330</v>
      </c>
      <c r="K39" s="227"/>
      <c r="L39" s="227"/>
      <c r="M39" s="597" t="s">
        <v>330</v>
      </c>
      <c r="N39" s="227"/>
      <c r="O39" s="63"/>
      <c r="P39" s="63"/>
    </row>
    <row r="40" spans="2:16" x14ac:dyDescent="0.2">
      <c r="E40" s="207"/>
      <c r="F40" s="207" t="s">
        <v>2564</v>
      </c>
      <c r="G40" s="114">
        <f>SUM(G4:G39)</f>
        <v>1735000</v>
      </c>
      <c r="H40" s="593">
        <f>SUM(H4:H39)</f>
        <v>628000</v>
      </c>
      <c r="J40" s="114">
        <f>SUM(J4:J39)</f>
        <v>1194591</v>
      </c>
      <c r="K40" s="593">
        <f>SUM(K4:K39)</f>
        <v>498618</v>
      </c>
      <c r="M40" s="114">
        <f>SUM(M4:M39)</f>
        <v>1114249</v>
      </c>
      <c r="N40" s="593">
        <f>SUM(N4:N39)</f>
        <v>493000</v>
      </c>
      <c r="O40" s="114">
        <f>SUM(O4:O39)</f>
        <v>1006000</v>
      </c>
      <c r="P40" s="593">
        <f>SUM(P4:P39)</f>
        <v>231020</v>
      </c>
    </row>
    <row r="41" spans="2:16" s="590" customFormat="1" x14ac:dyDescent="0.2">
      <c r="E41" s="207"/>
      <c r="F41" s="207" t="s">
        <v>2613</v>
      </c>
      <c r="G41" s="114">
        <v>1735000</v>
      </c>
      <c r="H41" s="593">
        <v>628000</v>
      </c>
      <c r="I41" s="2"/>
      <c r="J41" s="114">
        <v>1194591</v>
      </c>
      <c r="K41" s="593">
        <v>498618</v>
      </c>
      <c r="L41" s="2"/>
      <c r="M41" s="114">
        <v>1114249</v>
      </c>
      <c r="N41" s="593">
        <v>493000</v>
      </c>
      <c r="O41" s="114">
        <v>1006000</v>
      </c>
      <c r="P41" s="593">
        <v>231202</v>
      </c>
    </row>
    <row r="42" spans="2:16" s="591" customFormat="1" x14ac:dyDescent="0.2">
      <c r="E42" s="595" t="s">
        <v>2587</v>
      </c>
      <c r="F42" s="202">
        <v>1.33</v>
      </c>
      <c r="G42" s="114"/>
      <c r="H42" s="114" t="s">
        <v>2559</v>
      </c>
      <c r="I42" s="2"/>
      <c r="J42" s="114"/>
      <c r="K42" s="593"/>
      <c r="L42" s="2"/>
    </row>
    <row r="43" spans="2:16" s="591" customFormat="1" x14ac:dyDescent="0.2">
      <c r="E43" s="207"/>
      <c r="F43" s="207" t="s">
        <v>2667</v>
      </c>
      <c r="G43" s="848">
        <f>G40/F42+H40</f>
        <v>1932511.2781954887</v>
      </c>
      <c r="H43" s="848"/>
      <c r="I43" s="2"/>
      <c r="J43" s="114"/>
      <c r="K43" s="2"/>
      <c r="L43" s="2"/>
      <c r="M43" s="114"/>
      <c r="N43" s="2"/>
    </row>
    <row r="44" spans="2:16" s="591" customFormat="1" x14ac:dyDescent="0.2">
      <c r="E44" s="207"/>
      <c r="F44" s="207" t="s">
        <v>2668</v>
      </c>
      <c r="G44" s="847">
        <f>H40*F42+G40</f>
        <v>2570240</v>
      </c>
      <c r="H44" s="847"/>
      <c r="I44" s="2"/>
      <c r="J44" s="847">
        <f>K40*1.37+J40</f>
        <v>1877697.6600000001</v>
      </c>
      <c r="K44" s="847"/>
      <c r="L44" s="2"/>
      <c r="M44" s="847">
        <f>N40*1.37+M40</f>
        <v>1789659</v>
      </c>
      <c r="N44" s="847"/>
      <c r="O44" s="847">
        <f>P40*1.36+O40</f>
        <v>1320187.2</v>
      </c>
      <c r="P44" s="847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846" t="s">
        <v>1186</v>
      </c>
      <c r="C47" s="846"/>
      <c r="D47" s="846"/>
      <c r="E47" s="846"/>
      <c r="F47" s="846"/>
      <c r="G47" s="846"/>
      <c r="H47" s="846"/>
      <c r="I47" s="846"/>
      <c r="J47" s="846"/>
      <c r="K47" s="846"/>
      <c r="L47" s="846"/>
      <c r="M47" s="846"/>
      <c r="N47" s="846"/>
    </row>
    <row r="48" spans="2:16" x14ac:dyDescent="0.2">
      <c r="B48" s="846" t="s">
        <v>2563</v>
      </c>
      <c r="C48" s="846"/>
      <c r="D48" s="846"/>
      <c r="E48" s="846"/>
      <c r="F48" s="846"/>
      <c r="G48" s="846"/>
      <c r="H48" s="846"/>
      <c r="I48" s="846"/>
      <c r="J48" s="846"/>
      <c r="K48" s="846"/>
      <c r="L48" s="846"/>
      <c r="M48" s="846"/>
      <c r="N48" s="846"/>
    </row>
    <row r="49" spans="2:14" x14ac:dyDescent="0.2">
      <c r="B49" s="846" t="s">
        <v>2562</v>
      </c>
      <c r="C49" s="846"/>
      <c r="D49" s="846"/>
      <c r="E49" s="846"/>
      <c r="F49" s="846"/>
      <c r="G49" s="846"/>
      <c r="H49" s="846"/>
      <c r="I49" s="846"/>
      <c r="J49" s="846"/>
      <c r="K49" s="846"/>
      <c r="L49" s="846"/>
      <c r="M49" s="846"/>
      <c r="N49" s="846"/>
    </row>
    <row r="50" spans="2:14" x14ac:dyDescent="0.2">
      <c r="B50" s="845" t="s">
        <v>2561</v>
      </c>
      <c r="C50" s="845"/>
      <c r="D50" s="845"/>
      <c r="E50" s="845"/>
      <c r="F50" s="845"/>
      <c r="G50" s="845"/>
      <c r="H50" s="845"/>
      <c r="I50" s="845"/>
      <c r="J50" s="845"/>
      <c r="K50" s="845"/>
      <c r="L50" s="845"/>
      <c r="M50" s="845"/>
      <c r="N50" s="845"/>
    </row>
    <row r="51" spans="2:14" x14ac:dyDescent="0.2">
      <c r="B51" s="845"/>
      <c r="C51" s="845"/>
      <c r="D51" s="845"/>
      <c r="E51" s="845"/>
      <c r="F51" s="845"/>
      <c r="G51" s="845"/>
      <c r="H51" s="845"/>
      <c r="I51" s="845"/>
      <c r="J51" s="845"/>
      <c r="K51" s="845"/>
      <c r="L51" s="845"/>
      <c r="M51" s="845"/>
      <c r="N51" s="845"/>
    </row>
    <row r="52" spans="2:14" x14ac:dyDescent="0.2">
      <c r="B52" s="845"/>
      <c r="C52" s="845"/>
      <c r="D52" s="845"/>
      <c r="E52" s="845"/>
      <c r="F52" s="845"/>
      <c r="G52" s="845"/>
      <c r="H52" s="845"/>
      <c r="I52" s="845"/>
      <c r="J52" s="845"/>
      <c r="K52" s="845"/>
      <c r="L52" s="845"/>
      <c r="M52" s="845"/>
      <c r="N52" s="845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28" bestFit="1" customWidth="1"/>
    <col min="3" max="3" width="11.5703125" style="641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38"/>
    </row>
    <row r="2" spans="2:10" x14ac:dyDescent="0.2">
      <c r="B2" s="635" t="s">
        <v>461</v>
      </c>
      <c r="C2" s="639" t="s">
        <v>460</v>
      </c>
      <c r="D2" s="634" t="s">
        <v>456</v>
      </c>
      <c r="E2" s="635" t="s">
        <v>455</v>
      </c>
      <c r="F2" s="633" t="s">
        <v>457</v>
      </c>
      <c r="G2" s="636" t="s">
        <v>2640</v>
      </c>
      <c r="H2" s="636" t="s">
        <v>458</v>
      </c>
    </row>
    <row r="3" spans="2:10" x14ac:dyDescent="0.2">
      <c r="B3" s="63"/>
      <c r="C3" s="640"/>
      <c r="D3" s="63"/>
      <c r="E3" s="90"/>
      <c r="F3" s="90"/>
      <c r="G3" s="90"/>
      <c r="H3" s="90"/>
    </row>
    <row r="4" spans="2:10" x14ac:dyDescent="0.2">
      <c r="B4" s="63" t="s">
        <v>2649</v>
      </c>
      <c r="C4" s="640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2647</v>
      </c>
      <c r="C5" s="640">
        <v>44561</v>
      </c>
      <c r="D5" s="63" t="s">
        <v>2655</v>
      </c>
      <c r="E5" s="90">
        <v>505987.67999999993</v>
      </c>
      <c r="F5" s="63" t="s">
        <v>2655</v>
      </c>
      <c r="G5" s="90"/>
      <c r="H5" s="90"/>
      <c r="J5" s="52"/>
    </row>
    <row r="6" spans="2:10" s="632" customFormat="1" x14ac:dyDescent="0.2">
      <c r="B6" s="63" t="s">
        <v>915</v>
      </c>
      <c r="C6" s="640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2" customFormat="1" x14ac:dyDescent="0.2">
      <c r="B7" s="63" t="s">
        <v>915</v>
      </c>
      <c r="C7" s="640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2" customFormat="1" x14ac:dyDescent="0.2">
      <c r="B8" s="63" t="s">
        <v>2643</v>
      </c>
      <c r="C8" s="640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2" customFormat="1" x14ac:dyDescent="0.2">
      <c r="B9" s="63" t="s">
        <v>2643</v>
      </c>
      <c r="C9" s="640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2" customFormat="1" x14ac:dyDescent="0.2">
      <c r="B10" s="63" t="s">
        <v>2643</v>
      </c>
      <c r="C10" s="640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2" customFormat="1" x14ac:dyDescent="0.2">
      <c r="B11" s="63" t="s">
        <v>2643</v>
      </c>
      <c r="C11" s="640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2" customFormat="1" x14ac:dyDescent="0.2">
      <c r="B12" s="63" t="s">
        <v>2643</v>
      </c>
      <c r="C12" s="640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1" customFormat="1" x14ac:dyDescent="0.2">
      <c r="B13" s="63" t="s">
        <v>2643</v>
      </c>
      <c r="C13" s="640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1" customFormat="1" x14ac:dyDescent="0.2">
      <c r="B14" s="63" t="s">
        <v>2643</v>
      </c>
      <c r="C14" s="640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1" customFormat="1" x14ac:dyDescent="0.2">
      <c r="B15" s="63" t="s">
        <v>2643</v>
      </c>
      <c r="C15" s="640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1" customFormat="1" x14ac:dyDescent="0.2">
      <c r="B16" s="63" t="s">
        <v>2643</v>
      </c>
      <c r="C16" s="640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6" customFormat="1" x14ac:dyDescent="0.2">
      <c r="B17" s="63" t="s">
        <v>2643</v>
      </c>
      <c r="C17" s="640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6" customFormat="1" x14ac:dyDescent="0.2">
      <c r="B18" s="63" t="s">
        <v>2642</v>
      </c>
      <c r="C18" s="640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6" customFormat="1" x14ac:dyDescent="0.2">
      <c r="B19" s="63" t="s">
        <v>2639</v>
      </c>
      <c r="C19" s="640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6" customFormat="1" x14ac:dyDescent="0.2">
      <c r="B20" s="63" t="s">
        <v>2644</v>
      </c>
      <c r="C20" s="640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2641</v>
      </c>
      <c r="C21" s="640">
        <v>43710</v>
      </c>
      <c r="D21" s="643">
        <v>1740000</v>
      </c>
      <c r="E21" s="90">
        <f t="shared" si="0"/>
        <v>1090821.68</v>
      </c>
      <c r="F21" s="629">
        <v>1740000</v>
      </c>
      <c r="G21" s="90">
        <v>46524</v>
      </c>
      <c r="H21" s="90">
        <f>F21/G21</f>
        <v>37.400051586278053</v>
      </c>
    </row>
    <row r="22" spans="2:11" s="626" customFormat="1" x14ac:dyDescent="0.2">
      <c r="B22" s="183"/>
      <c r="C22" s="640">
        <v>43553</v>
      </c>
      <c r="D22" s="644"/>
      <c r="E22" s="90">
        <f t="shared" si="0"/>
        <v>1090821.68</v>
      </c>
      <c r="F22" s="629">
        <v>100</v>
      </c>
      <c r="G22" s="90"/>
      <c r="H22" s="90"/>
    </row>
    <row r="23" spans="2:11" x14ac:dyDescent="0.2">
      <c r="B23" s="63" t="s">
        <v>1031</v>
      </c>
      <c r="C23" s="640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6" customFormat="1" x14ac:dyDescent="0.2">
      <c r="B24" s="63" t="s">
        <v>2654</v>
      </c>
      <c r="C24" s="640">
        <v>43100</v>
      </c>
      <c r="D24" s="63" t="s">
        <v>2655</v>
      </c>
      <c r="E24" s="90">
        <v>705314.48</v>
      </c>
      <c r="F24" s="63" t="s">
        <v>2655</v>
      </c>
      <c r="G24" s="90"/>
      <c r="H24" s="90"/>
      <c r="K24" s="52"/>
    </row>
    <row r="25" spans="2:11" x14ac:dyDescent="0.2">
      <c r="B25" s="63" t="s">
        <v>2652</v>
      </c>
      <c r="C25" s="640" t="s">
        <v>2633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7" customFormat="1" x14ac:dyDescent="0.2">
      <c r="B26" s="63" t="s">
        <v>2648</v>
      </c>
      <c r="C26" s="640" t="s">
        <v>2653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0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0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0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0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0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0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0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0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2650</v>
      </c>
      <c r="C35" s="640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2651</v>
      </c>
      <c r="C36" s="640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0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7" customFormat="1" x14ac:dyDescent="0.2">
      <c r="B38" s="63"/>
      <c r="C38" s="640"/>
      <c r="D38" s="63"/>
      <c r="E38" s="855" t="s">
        <v>2658</v>
      </c>
      <c r="F38" s="856"/>
      <c r="G38" s="90"/>
      <c r="H38" s="90"/>
    </row>
    <row r="39" spans="2:8" x14ac:dyDescent="0.2">
      <c r="B39" s="63" t="s">
        <v>2656</v>
      </c>
      <c r="C39" s="640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2657</v>
      </c>
    </row>
    <row r="41" spans="2:8" ht="18" x14ac:dyDescent="0.25">
      <c r="B41" s="854" t="s">
        <v>989</v>
      </c>
      <c r="C41" s="854"/>
      <c r="D41" s="854"/>
      <c r="E41" s="854"/>
      <c r="F41" s="854"/>
      <c r="G41" s="854"/>
      <c r="H41" s="854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834" t="s">
        <v>909</v>
      </c>
      <c r="C1" s="834"/>
      <c r="D1" s="833" t="s">
        <v>515</v>
      </c>
      <c r="E1" s="833"/>
      <c r="F1" s="834" t="s">
        <v>513</v>
      </c>
      <c r="G1" s="834"/>
      <c r="H1" s="857" t="s">
        <v>549</v>
      </c>
      <c r="I1" s="857"/>
      <c r="J1" s="833" t="s">
        <v>515</v>
      </c>
      <c r="K1" s="833"/>
      <c r="L1" s="834" t="s">
        <v>908</v>
      </c>
      <c r="M1" s="834"/>
      <c r="N1" s="857" t="s">
        <v>549</v>
      </c>
      <c r="O1" s="857"/>
      <c r="P1" s="833" t="s">
        <v>515</v>
      </c>
      <c r="Q1" s="833"/>
      <c r="R1" s="834" t="s">
        <v>552</v>
      </c>
      <c r="S1" s="834"/>
      <c r="T1" s="857" t="s">
        <v>549</v>
      </c>
      <c r="U1" s="857"/>
      <c r="V1" s="833" t="s">
        <v>515</v>
      </c>
      <c r="W1" s="833"/>
      <c r="X1" s="834" t="s">
        <v>907</v>
      </c>
      <c r="Y1" s="834"/>
      <c r="Z1" s="857" t="s">
        <v>549</v>
      </c>
      <c r="AA1" s="857"/>
      <c r="AB1" s="833" t="s">
        <v>515</v>
      </c>
      <c r="AC1" s="833"/>
      <c r="AD1" s="834" t="s">
        <v>591</v>
      </c>
      <c r="AE1" s="834"/>
      <c r="AF1" s="857" t="s">
        <v>549</v>
      </c>
      <c r="AG1" s="857"/>
      <c r="AH1" s="833" t="s">
        <v>515</v>
      </c>
      <c r="AI1" s="833"/>
      <c r="AJ1" s="834" t="s">
        <v>906</v>
      </c>
      <c r="AK1" s="834"/>
      <c r="AL1" s="857" t="s">
        <v>626</v>
      </c>
      <c r="AM1" s="857"/>
      <c r="AN1" s="833" t="s">
        <v>627</v>
      </c>
      <c r="AO1" s="833"/>
      <c r="AP1" s="834" t="s">
        <v>621</v>
      </c>
      <c r="AQ1" s="834"/>
      <c r="AR1" s="857" t="s">
        <v>549</v>
      </c>
      <c r="AS1" s="857"/>
      <c r="AT1" s="833" t="s">
        <v>515</v>
      </c>
      <c r="AU1" s="833"/>
      <c r="AV1" s="834" t="s">
        <v>905</v>
      </c>
      <c r="AW1" s="834"/>
      <c r="AX1" s="857" t="s">
        <v>549</v>
      </c>
      <c r="AY1" s="857"/>
      <c r="AZ1" s="833" t="s">
        <v>515</v>
      </c>
      <c r="BA1" s="833"/>
      <c r="BB1" s="834" t="s">
        <v>653</v>
      </c>
      <c r="BC1" s="834"/>
      <c r="BD1" s="857" t="s">
        <v>549</v>
      </c>
      <c r="BE1" s="857"/>
      <c r="BF1" s="833" t="s">
        <v>515</v>
      </c>
      <c r="BG1" s="833"/>
      <c r="BH1" s="834" t="s">
        <v>904</v>
      </c>
      <c r="BI1" s="834"/>
      <c r="BJ1" s="857" t="s">
        <v>549</v>
      </c>
      <c r="BK1" s="857"/>
      <c r="BL1" s="833" t="s">
        <v>515</v>
      </c>
      <c r="BM1" s="833"/>
      <c r="BN1" s="834" t="s">
        <v>921</v>
      </c>
      <c r="BO1" s="834"/>
      <c r="BP1" s="857" t="s">
        <v>549</v>
      </c>
      <c r="BQ1" s="857"/>
      <c r="BR1" s="833" t="s">
        <v>515</v>
      </c>
      <c r="BS1" s="833"/>
      <c r="BT1" s="834" t="s">
        <v>903</v>
      </c>
      <c r="BU1" s="834"/>
      <c r="BV1" s="857" t="s">
        <v>704</v>
      </c>
      <c r="BW1" s="857"/>
      <c r="BX1" s="833" t="s">
        <v>705</v>
      </c>
      <c r="BY1" s="833"/>
      <c r="BZ1" s="834" t="s">
        <v>703</v>
      </c>
      <c r="CA1" s="834"/>
      <c r="CB1" s="857" t="s">
        <v>730</v>
      </c>
      <c r="CC1" s="857"/>
      <c r="CD1" s="833" t="s">
        <v>731</v>
      </c>
      <c r="CE1" s="833"/>
      <c r="CF1" s="834" t="s">
        <v>902</v>
      </c>
      <c r="CG1" s="834"/>
      <c r="CH1" s="857" t="s">
        <v>730</v>
      </c>
      <c r="CI1" s="857"/>
      <c r="CJ1" s="833" t="s">
        <v>731</v>
      </c>
      <c r="CK1" s="833"/>
      <c r="CL1" s="834" t="s">
        <v>748</v>
      </c>
      <c r="CM1" s="834"/>
      <c r="CN1" s="857" t="s">
        <v>730</v>
      </c>
      <c r="CO1" s="857"/>
      <c r="CP1" s="833" t="s">
        <v>731</v>
      </c>
      <c r="CQ1" s="833"/>
      <c r="CR1" s="834" t="s">
        <v>901</v>
      </c>
      <c r="CS1" s="834"/>
      <c r="CT1" s="857" t="s">
        <v>730</v>
      </c>
      <c r="CU1" s="857"/>
      <c r="CV1" s="861" t="s">
        <v>731</v>
      </c>
      <c r="CW1" s="861"/>
      <c r="CX1" s="834" t="s">
        <v>769</v>
      </c>
      <c r="CY1" s="834"/>
      <c r="CZ1" s="857" t="s">
        <v>730</v>
      </c>
      <c r="DA1" s="857"/>
      <c r="DB1" s="861" t="s">
        <v>731</v>
      </c>
      <c r="DC1" s="861"/>
      <c r="DD1" s="834" t="s">
        <v>900</v>
      </c>
      <c r="DE1" s="834"/>
      <c r="DF1" s="857" t="s">
        <v>816</v>
      </c>
      <c r="DG1" s="857"/>
      <c r="DH1" s="861" t="s">
        <v>817</v>
      </c>
      <c r="DI1" s="861"/>
      <c r="DJ1" s="834" t="s">
        <v>809</v>
      </c>
      <c r="DK1" s="834"/>
      <c r="DL1" s="857" t="s">
        <v>816</v>
      </c>
      <c r="DM1" s="857"/>
      <c r="DN1" s="861" t="s">
        <v>731</v>
      </c>
      <c r="DO1" s="861"/>
      <c r="DP1" s="834" t="s">
        <v>899</v>
      </c>
      <c r="DQ1" s="834"/>
      <c r="DR1" s="857" t="s">
        <v>816</v>
      </c>
      <c r="DS1" s="857"/>
      <c r="DT1" s="861" t="s">
        <v>731</v>
      </c>
      <c r="DU1" s="861"/>
      <c r="DV1" s="834" t="s">
        <v>898</v>
      </c>
      <c r="DW1" s="834"/>
      <c r="DX1" s="857" t="s">
        <v>816</v>
      </c>
      <c r="DY1" s="857"/>
      <c r="DZ1" s="861" t="s">
        <v>731</v>
      </c>
      <c r="EA1" s="861"/>
      <c r="EB1" s="834" t="s">
        <v>897</v>
      </c>
      <c r="EC1" s="834"/>
      <c r="ED1" s="857" t="s">
        <v>816</v>
      </c>
      <c r="EE1" s="857"/>
      <c r="EF1" s="861" t="s">
        <v>731</v>
      </c>
      <c r="EG1" s="861"/>
      <c r="EH1" s="834" t="s">
        <v>883</v>
      </c>
      <c r="EI1" s="834"/>
      <c r="EJ1" s="857" t="s">
        <v>816</v>
      </c>
      <c r="EK1" s="857"/>
      <c r="EL1" s="861" t="s">
        <v>936</v>
      </c>
      <c r="EM1" s="861"/>
      <c r="EN1" s="834" t="s">
        <v>922</v>
      </c>
      <c r="EO1" s="834"/>
      <c r="EP1" s="857" t="s">
        <v>816</v>
      </c>
      <c r="EQ1" s="857"/>
      <c r="ER1" s="861" t="s">
        <v>950</v>
      </c>
      <c r="ES1" s="861"/>
      <c r="ET1" s="834" t="s">
        <v>937</v>
      </c>
      <c r="EU1" s="834"/>
      <c r="EV1" s="857" t="s">
        <v>816</v>
      </c>
      <c r="EW1" s="857"/>
      <c r="EX1" s="861" t="s">
        <v>530</v>
      </c>
      <c r="EY1" s="861"/>
      <c r="EZ1" s="834" t="s">
        <v>952</v>
      </c>
      <c r="FA1" s="834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60" t="s">
        <v>779</v>
      </c>
      <c r="CU7" s="834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60" t="s">
        <v>778</v>
      </c>
      <c r="DA8" s="834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60" t="s">
        <v>778</v>
      </c>
      <c r="DG8" s="834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60" t="s">
        <v>778</v>
      </c>
      <c r="DM8" s="834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60" t="s">
        <v>778</v>
      </c>
      <c r="DS8" s="834"/>
      <c r="DT8" s="142" t="s">
        <v>783</v>
      </c>
      <c r="DU8" s="142">
        <f>SUM(DU13:DU17)</f>
        <v>32</v>
      </c>
      <c r="DV8" s="63"/>
      <c r="DW8" s="63"/>
      <c r="DX8" s="860" t="s">
        <v>778</v>
      </c>
      <c r="DY8" s="834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60" t="s">
        <v>928</v>
      </c>
      <c r="EK8" s="834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60" t="s">
        <v>928</v>
      </c>
      <c r="EQ9" s="834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60" t="s">
        <v>928</v>
      </c>
      <c r="EW9" s="834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60" t="s">
        <v>928</v>
      </c>
      <c r="EE11" s="834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60" t="s">
        <v>778</v>
      </c>
      <c r="CU12" s="834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23" t="s">
        <v>782</v>
      </c>
      <c r="CU19" s="823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46" t="s">
        <v>858</v>
      </c>
      <c r="FA21" s="846"/>
      <c r="FC21" s="238">
        <f>FC20-FC22</f>
        <v>113457.16899999997</v>
      </c>
      <c r="FD21" s="230"/>
      <c r="FE21" s="862" t="s">
        <v>1546</v>
      </c>
      <c r="FF21" s="862"/>
      <c r="FG21" s="862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46" t="s">
        <v>871</v>
      </c>
      <c r="FA22" s="846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46" t="s">
        <v>1000</v>
      </c>
      <c r="FA23" s="846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46" t="s">
        <v>1076</v>
      </c>
      <c r="FA24" s="846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58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859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58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859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D79"/>
  <sheetViews>
    <sheetView tabSelected="1" topLeftCell="JQ1" zoomScaleNormal="100" workbookViewId="0">
      <selection activeCell="JY41" sqref="JY41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2" customWidth="1"/>
    <col min="255" max="255" width="9.140625" style="572" bestFit="1" customWidth="1"/>
    <col min="256" max="256" width="15.85546875" style="572" customWidth="1"/>
    <col min="257" max="257" width="8.7109375" style="572" customWidth="1"/>
    <col min="258" max="258" width="18.28515625" style="572" customWidth="1"/>
    <col min="259" max="259" width="9.7109375" style="572" bestFit="1" customWidth="1"/>
    <col min="260" max="260" width="14.5703125" style="618" customWidth="1"/>
    <col min="261" max="261" width="9.7109375" style="618" bestFit="1" customWidth="1"/>
    <col min="262" max="262" width="15.85546875" style="618" customWidth="1"/>
    <col min="263" max="263" width="10.85546875" style="618" bestFit="1" customWidth="1"/>
    <col min="264" max="264" width="18" style="618" customWidth="1"/>
    <col min="265" max="265" width="10.85546875" style="618" customWidth="1"/>
    <col min="266" max="266" width="14.5703125" style="665" customWidth="1"/>
    <col min="267" max="267" width="11.7109375" style="665" customWidth="1"/>
    <col min="268" max="268" width="16.85546875" style="665" customWidth="1"/>
    <col min="269" max="269" width="11.85546875" style="665" bestFit="1" customWidth="1"/>
    <col min="270" max="270" width="17.7109375" style="665" customWidth="1"/>
    <col min="271" max="271" width="9" style="665" customWidth="1"/>
    <col min="272" max="272" width="14.5703125" style="714" customWidth="1"/>
    <col min="273" max="273" width="11.42578125" style="714" customWidth="1"/>
    <col min="274" max="274" width="16.85546875" style="714" customWidth="1"/>
    <col min="275" max="275" width="11.85546875" style="714" bestFit="1" customWidth="1"/>
    <col min="276" max="276" width="17.7109375" style="714" customWidth="1"/>
    <col min="277" max="277" width="9.42578125" style="714" customWidth="1"/>
    <col min="278" max="278" width="17.42578125" style="760" customWidth="1"/>
    <col min="279" max="279" width="10.140625" style="760" bestFit="1" customWidth="1"/>
    <col min="280" max="280" width="16.85546875" style="760" customWidth="1"/>
    <col min="281" max="281" width="11.85546875" style="760" bestFit="1" customWidth="1"/>
    <col min="282" max="282" width="17.7109375" style="760" customWidth="1"/>
    <col min="283" max="283" width="9.140625" style="760" bestFit="1" customWidth="1"/>
    <col min="284" max="284" width="17.42578125" style="799" customWidth="1"/>
    <col min="285" max="285" width="10.140625" style="799" bestFit="1" customWidth="1"/>
    <col min="286" max="286" width="16.85546875" style="799" customWidth="1"/>
    <col min="287" max="287" width="11.85546875" style="799" bestFit="1" customWidth="1"/>
    <col min="288" max="288" width="17.7109375" style="799" customWidth="1"/>
    <col min="289" max="289" width="9.140625" style="799" bestFit="1" customWidth="1"/>
    <col min="290" max="290" width="7.140625" style="799" customWidth="1"/>
  </cols>
  <sheetData>
    <row r="1" spans="1:290" s="142" customFormat="1" x14ac:dyDescent="0.2">
      <c r="A1" s="868" t="s">
        <v>1209</v>
      </c>
      <c r="B1" s="868"/>
      <c r="C1" s="831" t="s">
        <v>292</v>
      </c>
      <c r="D1" s="831"/>
      <c r="E1" s="829" t="s">
        <v>1010</v>
      </c>
      <c r="F1" s="829"/>
      <c r="G1" s="868" t="s">
        <v>1210</v>
      </c>
      <c r="H1" s="868"/>
      <c r="I1" s="831" t="s">
        <v>292</v>
      </c>
      <c r="J1" s="831"/>
      <c r="K1" s="829" t="s">
        <v>1011</v>
      </c>
      <c r="L1" s="829"/>
      <c r="M1" s="868" t="s">
        <v>1211</v>
      </c>
      <c r="N1" s="868"/>
      <c r="O1" s="831" t="s">
        <v>292</v>
      </c>
      <c r="P1" s="831"/>
      <c r="Q1" s="829" t="s">
        <v>1057</v>
      </c>
      <c r="R1" s="829"/>
      <c r="S1" s="868" t="s">
        <v>1212</v>
      </c>
      <c r="T1" s="868"/>
      <c r="U1" s="831" t="s">
        <v>292</v>
      </c>
      <c r="V1" s="831"/>
      <c r="W1" s="829" t="s">
        <v>627</v>
      </c>
      <c r="X1" s="829"/>
      <c r="Y1" s="868" t="s">
        <v>1213</v>
      </c>
      <c r="Z1" s="868"/>
      <c r="AA1" s="831" t="s">
        <v>292</v>
      </c>
      <c r="AB1" s="831"/>
      <c r="AC1" s="829" t="s">
        <v>1084</v>
      </c>
      <c r="AD1" s="829"/>
      <c r="AE1" s="868" t="s">
        <v>1214</v>
      </c>
      <c r="AF1" s="868"/>
      <c r="AG1" s="831" t="s">
        <v>292</v>
      </c>
      <c r="AH1" s="831"/>
      <c r="AI1" s="829" t="s">
        <v>1134</v>
      </c>
      <c r="AJ1" s="829"/>
      <c r="AK1" s="868" t="s">
        <v>1217</v>
      </c>
      <c r="AL1" s="868"/>
      <c r="AM1" s="831" t="s">
        <v>1132</v>
      </c>
      <c r="AN1" s="831"/>
      <c r="AO1" s="829" t="s">
        <v>1133</v>
      </c>
      <c r="AP1" s="829"/>
      <c r="AQ1" s="868" t="s">
        <v>1218</v>
      </c>
      <c r="AR1" s="868"/>
      <c r="AS1" s="831" t="s">
        <v>1132</v>
      </c>
      <c r="AT1" s="831"/>
      <c r="AU1" s="829" t="s">
        <v>1178</v>
      </c>
      <c r="AV1" s="829"/>
      <c r="AW1" s="868" t="s">
        <v>1215</v>
      </c>
      <c r="AX1" s="868"/>
      <c r="AY1" s="829" t="s">
        <v>1241</v>
      </c>
      <c r="AZ1" s="829"/>
      <c r="BA1" s="868" t="s">
        <v>1215</v>
      </c>
      <c r="BB1" s="868"/>
      <c r="BC1" s="831" t="s">
        <v>816</v>
      </c>
      <c r="BD1" s="831"/>
      <c r="BE1" s="829" t="s">
        <v>1208</v>
      </c>
      <c r="BF1" s="829"/>
      <c r="BG1" s="868" t="s">
        <v>1216</v>
      </c>
      <c r="BH1" s="868"/>
      <c r="BI1" s="831" t="s">
        <v>816</v>
      </c>
      <c r="BJ1" s="831"/>
      <c r="BK1" s="829" t="s">
        <v>1208</v>
      </c>
      <c r="BL1" s="829"/>
      <c r="BM1" s="868" t="s">
        <v>1226</v>
      </c>
      <c r="BN1" s="868"/>
      <c r="BO1" s="831" t="s">
        <v>816</v>
      </c>
      <c r="BP1" s="831"/>
      <c r="BQ1" s="829" t="s">
        <v>1244</v>
      </c>
      <c r="BR1" s="829"/>
      <c r="BS1" s="868" t="s">
        <v>1243</v>
      </c>
      <c r="BT1" s="868"/>
      <c r="BU1" s="831" t="s">
        <v>816</v>
      </c>
      <c r="BV1" s="831"/>
      <c r="BW1" s="829" t="s">
        <v>1248</v>
      </c>
      <c r="BX1" s="829"/>
      <c r="BY1" s="868" t="s">
        <v>1270</v>
      </c>
      <c r="BZ1" s="868"/>
      <c r="CA1" s="831" t="s">
        <v>816</v>
      </c>
      <c r="CB1" s="831"/>
      <c r="CC1" s="829" t="s">
        <v>1244</v>
      </c>
      <c r="CD1" s="829"/>
      <c r="CE1" s="868" t="s">
        <v>1291</v>
      </c>
      <c r="CF1" s="868"/>
      <c r="CG1" s="831" t="s">
        <v>816</v>
      </c>
      <c r="CH1" s="831"/>
      <c r="CI1" s="829" t="s">
        <v>1248</v>
      </c>
      <c r="CJ1" s="829"/>
      <c r="CK1" s="868" t="s">
        <v>1307</v>
      </c>
      <c r="CL1" s="868"/>
      <c r="CM1" s="831" t="s">
        <v>816</v>
      </c>
      <c r="CN1" s="831"/>
      <c r="CO1" s="829" t="s">
        <v>1244</v>
      </c>
      <c r="CP1" s="829"/>
      <c r="CQ1" s="868" t="s">
        <v>1335</v>
      </c>
      <c r="CR1" s="868"/>
      <c r="CS1" s="864" t="s">
        <v>816</v>
      </c>
      <c r="CT1" s="864"/>
      <c r="CU1" s="829" t="s">
        <v>1391</v>
      </c>
      <c r="CV1" s="829"/>
      <c r="CW1" s="868" t="s">
        <v>1374</v>
      </c>
      <c r="CX1" s="868"/>
      <c r="CY1" s="864" t="s">
        <v>816</v>
      </c>
      <c r="CZ1" s="864"/>
      <c r="DA1" s="829" t="s">
        <v>1597</v>
      </c>
      <c r="DB1" s="829"/>
      <c r="DC1" s="868" t="s">
        <v>1394</v>
      </c>
      <c r="DD1" s="868"/>
      <c r="DE1" s="864" t="s">
        <v>816</v>
      </c>
      <c r="DF1" s="864"/>
      <c r="DG1" s="829" t="s">
        <v>1491</v>
      </c>
      <c r="DH1" s="829"/>
      <c r="DI1" s="868" t="s">
        <v>1594</v>
      </c>
      <c r="DJ1" s="868"/>
      <c r="DK1" s="864" t="s">
        <v>816</v>
      </c>
      <c r="DL1" s="864"/>
      <c r="DM1" s="829" t="s">
        <v>1391</v>
      </c>
      <c r="DN1" s="829"/>
      <c r="DO1" s="868" t="s">
        <v>1595</v>
      </c>
      <c r="DP1" s="868"/>
      <c r="DQ1" s="864" t="s">
        <v>816</v>
      </c>
      <c r="DR1" s="864"/>
      <c r="DS1" s="829" t="s">
        <v>1590</v>
      </c>
      <c r="DT1" s="829"/>
      <c r="DU1" s="868" t="s">
        <v>1596</v>
      </c>
      <c r="DV1" s="868"/>
      <c r="DW1" s="864" t="s">
        <v>816</v>
      </c>
      <c r="DX1" s="864"/>
      <c r="DY1" s="829" t="s">
        <v>1616</v>
      </c>
      <c r="DZ1" s="829"/>
      <c r="EA1" s="863" t="s">
        <v>1611</v>
      </c>
      <c r="EB1" s="863"/>
      <c r="EC1" s="864" t="s">
        <v>816</v>
      </c>
      <c r="ED1" s="864"/>
      <c r="EE1" s="829" t="s">
        <v>1590</v>
      </c>
      <c r="EF1" s="829"/>
      <c r="EG1" s="361"/>
      <c r="EH1" s="863" t="s">
        <v>1641</v>
      </c>
      <c r="EI1" s="863"/>
      <c r="EJ1" s="864" t="s">
        <v>816</v>
      </c>
      <c r="EK1" s="864"/>
      <c r="EL1" s="829" t="s">
        <v>1675</v>
      </c>
      <c r="EM1" s="829"/>
      <c r="EN1" s="863" t="s">
        <v>1666</v>
      </c>
      <c r="EO1" s="863"/>
      <c r="EP1" s="864" t="s">
        <v>816</v>
      </c>
      <c r="EQ1" s="864"/>
      <c r="ER1" s="829" t="s">
        <v>1715</v>
      </c>
      <c r="ES1" s="829"/>
      <c r="ET1" s="863" t="s">
        <v>1708</v>
      </c>
      <c r="EU1" s="863"/>
      <c r="EV1" s="864" t="s">
        <v>816</v>
      </c>
      <c r="EW1" s="864"/>
      <c r="EX1" s="829" t="s">
        <v>1616</v>
      </c>
      <c r="EY1" s="829"/>
      <c r="EZ1" s="863" t="s">
        <v>1743</v>
      </c>
      <c r="FA1" s="863"/>
      <c r="FB1" s="864" t="s">
        <v>816</v>
      </c>
      <c r="FC1" s="864"/>
      <c r="FD1" s="829" t="s">
        <v>1597</v>
      </c>
      <c r="FE1" s="829"/>
      <c r="FF1" s="863" t="s">
        <v>1782</v>
      </c>
      <c r="FG1" s="863"/>
      <c r="FH1" s="864" t="s">
        <v>816</v>
      </c>
      <c r="FI1" s="864"/>
      <c r="FJ1" s="829" t="s">
        <v>1391</v>
      </c>
      <c r="FK1" s="829"/>
      <c r="FL1" s="863" t="s">
        <v>1817</v>
      </c>
      <c r="FM1" s="863"/>
      <c r="FN1" s="864" t="s">
        <v>816</v>
      </c>
      <c r="FO1" s="864"/>
      <c r="FP1" s="829" t="s">
        <v>1864</v>
      </c>
      <c r="FQ1" s="829"/>
      <c r="FR1" s="863" t="s">
        <v>1853</v>
      </c>
      <c r="FS1" s="863"/>
      <c r="FT1" s="864" t="s">
        <v>816</v>
      </c>
      <c r="FU1" s="864"/>
      <c r="FV1" s="829" t="s">
        <v>1864</v>
      </c>
      <c r="FW1" s="829"/>
      <c r="FX1" s="863" t="s">
        <v>1997</v>
      </c>
      <c r="FY1" s="863"/>
      <c r="FZ1" s="864" t="s">
        <v>816</v>
      </c>
      <c r="GA1" s="864"/>
      <c r="GB1" s="829" t="s">
        <v>1616</v>
      </c>
      <c r="GC1" s="829"/>
      <c r="GD1" s="863" t="s">
        <v>1998</v>
      </c>
      <c r="GE1" s="863"/>
      <c r="GF1" s="864" t="s">
        <v>816</v>
      </c>
      <c r="GG1" s="864"/>
      <c r="GH1" s="829" t="s">
        <v>1590</v>
      </c>
      <c r="GI1" s="829"/>
      <c r="GJ1" s="863" t="s">
        <v>2007</v>
      </c>
      <c r="GK1" s="863"/>
      <c r="GL1" s="864" t="s">
        <v>816</v>
      </c>
      <c r="GM1" s="864"/>
      <c r="GN1" s="829" t="s">
        <v>1590</v>
      </c>
      <c r="GO1" s="829"/>
      <c r="GP1" s="863" t="s">
        <v>2049</v>
      </c>
      <c r="GQ1" s="863"/>
      <c r="GR1" s="864" t="s">
        <v>816</v>
      </c>
      <c r="GS1" s="864"/>
      <c r="GT1" s="829" t="s">
        <v>1675</v>
      </c>
      <c r="GU1" s="829"/>
      <c r="GV1" s="863" t="s">
        <v>2083</v>
      </c>
      <c r="GW1" s="863"/>
      <c r="GX1" s="864" t="s">
        <v>816</v>
      </c>
      <c r="GY1" s="864"/>
      <c r="GZ1" s="829" t="s">
        <v>2122</v>
      </c>
      <c r="HA1" s="829"/>
      <c r="HB1" s="863" t="s">
        <v>2142</v>
      </c>
      <c r="HC1" s="863"/>
      <c r="HD1" s="864" t="s">
        <v>816</v>
      </c>
      <c r="HE1" s="864"/>
      <c r="HF1" s="829" t="s">
        <v>1715</v>
      </c>
      <c r="HG1" s="829"/>
      <c r="HH1" s="863" t="s">
        <v>2155</v>
      </c>
      <c r="HI1" s="863"/>
      <c r="HJ1" s="864" t="s">
        <v>816</v>
      </c>
      <c r="HK1" s="864"/>
      <c r="HL1" s="829" t="s">
        <v>1391</v>
      </c>
      <c r="HM1" s="829"/>
      <c r="HN1" s="863" t="s">
        <v>2201</v>
      </c>
      <c r="HO1" s="863"/>
      <c r="HP1" s="864" t="s">
        <v>816</v>
      </c>
      <c r="HQ1" s="864"/>
      <c r="HR1" s="829" t="s">
        <v>1391</v>
      </c>
      <c r="HS1" s="829"/>
      <c r="HT1" s="863" t="s">
        <v>2243</v>
      </c>
      <c r="HU1" s="863"/>
      <c r="HV1" s="864" t="s">
        <v>816</v>
      </c>
      <c r="HW1" s="864"/>
      <c r="HX1" s="829" t="s">
        <v>1616</v>
      </c>
      <c r="HY1" s="829"/>
      <c r="HZ1" s="863" t="s">
        <v>2300</v>
      </c>
      <c r="IA1" s="863"/>
      <c r="IB1" s="864" t="s">
        <v>816</v>
      </c>
      <c r="IC1" s="864"/>
      <c r="ID1" s="829" t="s">
        <v>1715</v>
      </c>
      <c r="IE1" s="829"/>
      <c r="IF1" s="863" t="s">
        <v>2367</v>
      </c>
      <c r="IG1" s="863"/>
      <c r="IH1" s="864" t="s">
        <v>816</v>
      </c>
      <c r="II1" s="864"/>
      <c r="IJ1" s="829" t="s">
        <v>1590</v>
      </c>
      <c r="IK1" s="829"/>
      <c r="IL1" s="863" t="s">
        <v>2443</v>
      </c>
      <c r="IM1" s="863"/>
      <c r="IN1" s="864" t="s">
        <v>816</v>
      </c>
      <c r="IO1" s="864"/>
      <c r="IP1" s="829" t="s">
        <v>1616</v>
      </c>
      <c r="IQ1" s="829"/>
      <c r="IR1" s="863" t="s">
        <v>2661</v>
      </c>
      <c r="IS1" s="863"/>
      <c r="IT1" s="864" t="s">
        <v>816</v>
      </c>
      <c r="IU1" s="864"/>
      <c r="IV1" s="829" t="s">
        <v>1748</v>
      </c>
      <c r="IW1" s="829"/>
      <c r="IX1" s="863" t="s">
        <v>2660</v>
      </c>
      <c r="IY1" s="863"/>
      <c r="IZ1" s="864" t="s">
        <v>816</v>
      </c>
      <c r="JA1" s="864"/>
      <c r="JB1" s="829" t="s">
        <v>1864</v>
      </c>
      <c r="JC1" s="829"/>
      <c r="JD1" s="863" t="s">
        <v>2708</v>
      </c>
      <c r="JE1" s="863"/>
      <c r="JF1" s="864" t="s">
        <v>816</v>
      </c>
      <c r="JG1" s="864"/>
      <c r="JH1" s="829" t="s">
        <v>1748</v>
      </c>
      <c r="JI1" s="829"/>
      <c r="JJ1" s="863" t="s">
        <v>2772</v>
      </c>
      <c r="JK1" s="863"/>
      <c r="JL1" s="716" t="s">
        <v>816</v>
      </c>
      <c r="JM1" s="716"/>
      <c r="JN1" s="713" t="s">
        <v>1748</v>
      </c>
      <c r="JO1" s="713"/>
      <c r="JP1" s="715" t="s">
        <v>2832</v>
      </c>
      <c r="JQ1" s="715"/>
      <c r="JR1" s="762" t="s">
        <v>816</v>
      </c>
      <c r="JS1" s="762"/>
      <c r="JT1" s="759" t="s">
        <v>1748</v>
      </c>
      <c r="JU1" s="759"/>
      <c r="JV1" s="761" t="s">
        <v>2897</v>
      </c>
      <c r="JW1" s="761"/>
      <c r="JX1" s="801" t="s">
        <v>816</v>
      </c>
      <c r="JY1" s="801"/>
      <c r="JZ1" s="798" t="s">
        <v>1748</v>
      </c>
      <c r="KA1" s="798"/>
      <c r="KB1" s="800" t="s">
        <v>2895</v>
      </c>
      <c r="KC1" s="800"/>
      <c r="KD1" s="582"/>
    </row>
    <row r="2" spans="1:290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198930.47000000009</v>
      </c>
      <c r="HZ2" t="s">
        <v>2185</v>
      </c>
      <c r="IA2" s="2">
        <f>IA3-($GQ$39-$HG$38-$HG$37-$HM$36)</f>
        <v>535432.75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496122.83999999991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498138.07999999996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500984.65</v>
      </c>
      <c r="IT2" s="572" t="s">
        <v>295</v>
      </c>
      <c r="IU2" s="492">
        <f>SUM(IU3:IU19)</f>
        <v>42025.250000000007</v>
      </c>
      <c r="IV2" s="334" t="s">
        <v>296</v>
      </c>
      <c r="IW2" s="273">
        <f>IU2+IS2-IY2</f>
        <v>11439.987000000081</v>
      </c>
      <c r="IX2" s="572" t="s">
        <v>1911</v>
      </c>
      <c r="IY2" s="268">
        <f>SUM(IY5:IY25)</f>
        <v>531569.91299999994</v>
      </c>
      <c r="IZ2" s="618" t="s">
        <v>295</v>
      </c>
      <c r="JA2" s="492">
        <f>SUM(JA4:JA24)</f>
        <v>29637.580999999998</v>
      </c>
      <c r="JB2" s="334" t="s">
        <v>296</v>
      </c>
      <c r="JC2" s="273">
        <f>JA2+IY2-JE2</f>
        <v>11138.843999999925</v>
      </c>
      <c r="JD2" s="618" t="s">
        <v>1911</v>
      </c>
      <c r="JE2" s="268">
        <f>SUM(JE5:JE27)</f>
        <v>550068.65</v>
      </c>
      <c r="JF2" s="665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5" t="s">
        <v>1911</v>
      </c>
      <c r="JK2" s="268">
        <f>SUM(JK5:JK30)</f>
        <v>400882.75</v>
      </c>
      <c r="JL2" s="714" t="s">
        <v>295</v>
      </c>
      <c r="JM2" s="492">
        <f>SUM(JM4:JM24)</f>
        <v>16944.660999999996</v>
      </c>
      <c r="JN2" s="334" t="s">
        <v>296</v>
      </c>
      <c r="JO2" s="273">
        <f>JM2+JK2-JQ2</f>
        <v>126904.96100000001</v>
      </c>
      <c r="JP2" s="714" t="s">
        <v>1911</v>
      </c>
      <c r="JQ2" s="363">
        <f>SUM(JQ3:JQ33)</f>
        <v>290922.45</v>
      </c>
      <c r="JR2" s="760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60" t="s">
        <v>1911</v>
      </c>
      <c r="JW2" s="363">
        <f>SUM(JW3:JW27)</f>
        <v>301431.25</v>
      </c>
      <c r="JX2" s="799" t="s">
        <v>295</v>
      </c>
      <c r="JY2" s="492">
        <f>SUM(JY4:JY18)</f>
        <v>0</v>
      </c>
      <c r="JZ2" s="334" t="s">
        <v>296</v>
      </c>
      <c r="KA2" s="273">
        <f>JY2+JW2-KC2</f>
        <v>0</v>
      </c>
      <c r="KB2" s="799" t="s">
        <v>1911</v>
      </c>
      <c r="KC2" s="363">
        <f>SUM(KC3:KC27)</f>
        <v>301431.25</v>
      </c>
      <c r="KD2" s="608"/>
    </row>
    <row r="3" spans="1:290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539305.30000000005</v>
      </c>
      <c r="IB3" t="s">
        <v>633</v>
      </c>
      <c r="IC3" s="492">
        <v>15104.63</v>
      </c>
      <c r="ID3" s="334" t="s">
        <v>2383</v>
      </c>
      <c r="IE3" s="273">
        <f>IE2-IC26-IC27</f>
        <v>6802.6743333334671</v>
      </c>
      <c r="IF3" t="s">
        <v>2345</v>
      </c>
      <c r="IG3" s="268">
        <f>$IA$6</f>
        <v>-1.35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2345</v>
      </c>
      <c r="IM3" s="268">
        <f>$IA$6</f>
        <v>-1.35</v>
      </c>
      <c r="IN3" t="s">
        <v>633</v>
      </c>
      <c r="IO3" s="541">
        <v>15104.63</v>
      </c>
      <c r="IP3" t="s">
        <v>2397</v>
      </c>
      <c r="IQ3" s="273">
        <f>IQ2-IO34-IO33</f>
        <v>5631.8933333332407</v>
      </c>
      <c r="IR3" t="s">
        <v>2345</v>
      </c>
      <c r="IS3" s="268">
        <f>$IA$6</f>
        <v>-1.35</v>
      </c>
      <c r="IT3" s="572" t="s">
        <v>633</v>
      </c>
      <c r="IU3" s="541">
        <v>43151.3</v>
      </c>
      <c r="IV3" s="572" t="s">
        <v>2397</v>
      </c>
      <c r="IW3" s="273">
        <f>IW2-IU24-IU23</f>
        <v>5412.0003333334134</v>
      </c>
      <c r="IX3" s="769"/>
      <c r="IY3" s="363"/>
      <c r="IZ3" s="657"/>
      <c r="JA3" s="492"/>
      <c r="JB3" s="618" t="s">
        <v>2397</v>
      </c>
      <c r="JC3" s="273">
        <f>JC2-JA30-JA29</f>
        <v>5095.8329999999251</v>
      </c>
      <c r="JD3" s="769"/>
      <c r="JE3" s="363"/>
      <c r="JG3" s="492"/>
      <c r="JH3" s="665" t="s">
        <v>2397</v>
      </c>
      <c r="JI3" s="273">
        <f>JI2-JG29-JG28</f>
        <v>5318.7558739726428</v>
      </c>
      <c r="JJ3" s="769"/>
      <c r="JK3" s="363"/>
      <c r="JM3" s="492"/>
      <c r="JN3" s="714" t="s">
        <v>2397</v>
      </c>
      <c r="JO3" s="273">
        <f>JO2-JM27-JM26</f>
        <v>7527.189000000023</v>
      </c>
      <c r="JP3" s="714" t="s">
        <v>2858</v>
      </c>
      <c r="JQ3" s="203">
        <f>$IA$6</f>
        <v>-1.35</v>
      </c>
      <c r="JS3" s="492"/>
      <c r="JT3" s="760" t="s">
        <v>2397</v>
      </c>
      <c r="JU3" s="273">
        <f>JU2-JS26-JS25</f>
        <v>4220.0940000000155</v>
      </c>
      <c r="JV3" s="781" t="s">
        <v>2858</v>
      </c>
      <c r="JW3" s="203">
        <f>$IA$6</f>
        <v>-1.35</v>
      </c>
      <c r="JY3" s="492"/>
      <c r="JZ3" s="799" t="s">
        <v>2397</v>
      </c>
      <c r="KA3" s="273">
        <f>KA2-JY21-JY20</f>
        <v>0</v>
      </c>
      <c r="KB3" s="799" t="s">
        <v>2858</v>
      </c>
      <c r="KC3" s="203">
        <f>$IA$6</f>
        <v>-1.35</v>
      </c>
      <c r="KD3" s="609"/>
    </row>
    <row r="4" spans="1:290" ht="12.75" customHeight="1" thickBot="1" x14ac:dyDescent="0.25">
      <c r="A4" s="826" t="s">
        <v>991</v>
      </c>
      <c r="B4" s="826"/>
      <c r="E4" s="170" t="s">
        <v>233</v>
      </c>
      <c r="F4" s="174">
        <f>F3-F5</f>
        <v>17</v>
      </c>
      <c r="G4" s="826" t="s">
        <v>991</v>
      </c>
      <c r="H4" s="826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11602.456666666787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IE3-IE59</f>
        <v>3490.8843333334671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IK3-II45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2.9699999999083957</v>
      </c>
      <c r="IR4" s="1" t="s">
        <v>2280</v>
      </c>
      <c r="IS4" s="272">
        <v>-75000</v>
      </c>
      <c r="IT4" s="610" t="s">
        <v>2664</v>
      </c>
      <c r="IU4" s="541">
        <v>-1437.02</v>
      </c>
      <c r="IV4" s="672" t="s">
        <v>2449</v>
      </c>
      <c r="IW4" s="273">
        <f>IW3-IU25</f>
        <v>2897.9403333334135</v>
      </c>
      <c r="IX4" s="769"/>
      <c r="IY4" s="363"/>
      <c r="IZ4" s="618" t="s">
        <v>633</v>
      </c>
      <c r="JA4" s="541">
        <v>30921.3</v>
      </c>
      <c r="JB4" s="672" t="s">
        <v>2449</v>
      </c>
      <c r="JC4" s="273">
        <f>JC3-JA31</f>
        <v>3741.5129999999253</v>
      </c>
      <c r="JD4" s="769"/>
      <c r="JE4" s="363"/>
      <c r="JF4" s="665" t="s">
        <v>633</v>
      </c>
      <c r="JG4" s="541">
        <v>17271.3</v>
      </c>
      <c r="JH4" s="665" t="s">
        <v>1203</v>
      </c>
      <c r="JI4" s="286">
        <f>JI2-JI5</f>
        <v>-0.59412602733937092</v>
      </c>
      <c r="JJ4" s="769"/>
      <c r="JK4" s="268"/>
      <c r="JL4" s="714" t="s">
        <v>633</v>
      </c>
      <c r="JM4" s="541">
        <v>17271.3</v>
      </c>
      <c r="JN4" s="714" t="s">
        <v>1203</v>
      </c>
      <c r="JO4" s="286">
        <f>JO2-JO5</f>
        <v>-0.21999999998661224</v>
      </c>
      <c r="JP4" s="714" t="s">
        <v>2799</v>
      </c>
      <c r="JQ4" s="268">
        <f>-71000-140000</f>
        <v>-211000</v>
      </c>
      <c r="JR4" s="760" t="s">
        <v>633</v>
      </c>
      <c r="JS4" s="541">
        <v>17271.3</v>
      </c>
      <c r="JT4" s="760" t="s">
        <v>1203</v>
      </c>
      <c r="JU4" s="286">
        <f>JU2-JU5</f>
        <v>-8.9999999985593604E-2</v>
      </c>
      <c r="JV4" s="760" t="s">
        <v>2799</v>
      </c>
      <c r="JW4" s="268">
        <f>-71000-140000</f>
        <v>-211000</v>
      </c>
      <c r="JX4" s="799" t="s">
        <v>633</v>
      </c>
      <c r="JY4" s="541"/>
      <c r="JZ4" s="799" t="s">
        <v>1203</v>
      </c>
      <c r="KA4" s="286">
        <f>KA2-KA5</f>
        <v>0</v>
      </c>
      <c r="KB4" s="799" t="s">
        <v>2799</v>
      </c>
      <c r="KC4" s="268">
        <f>-71000-140000</f>
        <v>-211000</v>
      </c>
      <c r="KD4" s="609"/>
    </row>
    <row r="5" spans="1:290" x14ac:dyDescent="0.2">
      <c r="A5" s="826"/>
      <c r="B5" s="826"/>
      <c r="E5" s="170" t="s">
        <v>352</v>
      </c>
      <c r="F5" s="174">
        <f>SUM(F15:F58)</f>
        <v>12750</v>
      </c>
      <c r="G5" s="826"/>
      <c r="H5" s="826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HY4-HY55</f>
        <v>4272.956666666787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2402</v>
      </c>
      <c r="IS5" s="2">
        <v>0</v>
      </c>
      <c r="IT5" s="657" t="s">
        <v>2604</v>
      </c>
      <c r="IU5" s="492">
        <f>-11-12-13</f>
        <v>-36</v>
      </c>
      <c r="IV5" s="572" t="s">
        <v>1203</v>
      </c>
      <c r="IW5" s="286">
        <f>IW2-IW6</f>
        <v>0.48700000007738709</v>
      </c>
      <c r="IX5" s="572" t="s">
        <v>2345</v>
      </c>
      <c r="IY5" s="268">
        <f>$IA$6</f>
        <v>-1.35</v>
      </c>
      <c r="IZ5" s="618" t="s">
        <v>2664</v>
      </c>
      <c r="JA5" s="541">
        <v>-71</v>
      </c>
      <c r="JB5" s="618" t="s">
        <v>1203</v>
      </c>
      <c r="JC5" s="286">
        <f>JC2-JC6</f>
        <v>-3.9080000000722066</v>
      </c>
      <c r="JD5" s="618" t="s">
        <v>2345</v>
      </c>
      <c r="JE5" s="268">
        <f>$IA$6</f>
        <v>-1.35</v>
      </c>
      <c r="JF5" s="665" t="s">
        <v>2664</v>
      </c>
      <c r="JG5" s="541">
        <v>-5.95</v>
      </c>
      <c r="JH5" s="665" t="s">
        <v>352</v>
      </c>
      <c r="JI5" s="273">
        <f>SUM(JI6:JI47)</f>
        <v>166095.25412602737</v>
      </c>
      <c r="JJ5" s="665" t="s">
        <v>2345</v>
      </c>
      <c r="JK5" s="203">
        <f>$IA$6</f>
        <v>-1.35</v>
      </c>
      <c r="JL5" s="714" t="s">
        <v>2604</v>
      </c>
      <c r="JM5" s="492">
        <v>-1400</v>
      </c>
      <c r="JN5" s="714" t="s">
        <v>352</v>
      </c>
      <c r="JO5" s="273">
        <f>SUM(JO6:JO51)</f>
        <v>126905.181</v>
      </c>
      <c r="JP5" s="720" t="s">
        <v>2679</v>
      </c>
      <c r="JQ5" s="442">
        <v>-80000</v>
      </c>
      <c r="JR5" s="782" t="s">
        <v>2860</v>
      </c>
      <c r="JS5" s="541">
        <v>-30</v>
      </c>
      <c r="JT5" s="760" t="s">
        <v>352</v>
      </c>
      <c r="JU5" s="273">
        <f>SUM(JU6:JU50)</f>
        <v>13510.48</v>
      </c>
      <c r="JV5" s="765" t="s">
        <v>2679</v>
      </c>
      <c r="JW5" s="442">
        <v>-77000</v>
      </c>
      <c r="JX5" s="799" t="s">
        <v>2860</v>
      </c>
      <c r="JY5" s="541"/>
      <c r="JZ5" s="799" t="s">
        <v>352</v>
      </c>
      <c r="KA5" s="273">
        <f>SUM(KA6:KA34)</f>
        <v>0</v>
      </c>
      <c r="KB5" s="804" t="s">
        <v>2679</v>
      </c>
      <c r="KC5" s="442">
        <v>-77000</v>
      </c>
      <c r="KD5" s="609"/>
    </row>
    <row r="6" spans="1:290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SUM(HA13:HA52)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SUM(HS7:HS46)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0.61000000007334165</v>
      </c>
      <c r="HZ6" t="s">
        <v>2345</v>
      </c>
      <c r="IA6" s="203">
        <v>-1.35</v>
      </c>
      <c r="IB6" t="s">
        <v>2325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SUM(IK7:IK61)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2" t="s">
        <v>2680</v>
      </c>
      <c r="IU6" s="492">
        <v>-30</v>
      </c>
      <c r="IV6" s="572" t="s">
        <v>352</v>
      </c>
      <c r="IW6" s="273">
        <f>SUM(IW7:IW40)</f>
        <v>11439.500000000004</v>
      </c>
      <c r="IX6" s="612" t="s">
        <v>2608</v>
      </c>
      <c r="IY6" s="613">
        <v>0.13300000000000001</v>
      </c>
      <c r="IZ6" s="618" t="s">
        <v>2604</v>
      </c>
      <c r="JA6" s="492">
        <f>-1300</f>
        <v>-1300</v>
      </c>
      <c r="JB6" s="618" t="s">
        <v>352</v>
      </c>
      <c r="JC6" s="273">
        <f>SUM(JC7:JC49)</f>
        <v>11142.751999999997</v>
      </c>
      <c r="JD6" s="736" t="s">
        <v>2799</v>
      </c>
      <c r="JE6" s="268">
        <f>-140000-71000</f>
        <v>-211000</v>
      </c>
      <c r="JF6" s="665" t="s">
        <v>2604</v>
      </c>
      <c r="JG6" s="492">
        <v>-1401</v>
      </c>
      <c r="JH6" s="192" t="s">
        <v>2736</v>
      </c>
      <c r="JI6" s="582">
        <v>2000.06</v>
      </c>
      <c r="JJ6" s="736" t="s">
        <v>2799</v>
      </c>
      <c r="JK6" s="268">
        <v>-71000</v>
      </c>
      <c r="JM6" s="492"/>
      <c r="JN6" s="192" t="s">
        <v>2789</v>
      </c>
      <c r="JO6" s="582">
        <v>1000.07</v>
      </c>
      <c r="JP6" s="721" t="s">
        <v>2678</v>
      </c>
      <c r="JQ6" s="268">
        <v>-4000</v>
      </c>
      <c r="JR6" s="760" t="s">
        <v>2664</v>
      </c>
      <c r="JS6" s="541" t="s">
        <v>2847</v>
      </c>
      <c r="JT6" s="925" t="s">
        <v>2853</v>
      </c>
      <c r="JU6" s="61">
        <v>2000</v>
      </c>
      <c r="JV6" s="766" t="s">
        <v>2678</v>
      </c>
      <c r="JW6" s="268">
        <v>-4000</v>
      </c>
      <c r="JX6" s="799" t="s">
        <v>2664</v>
      </c>
      <c r="JY6" s="541"/>
      <c r="JZ6" s="925" t="s">
        <v>2853</v>
      </c>
      <c r="KA6" s="61"/>
      <c r="KB6" s="803" t="s">
        <v>2678</v>
      </c>
      <c r="KC6" s="268">
        <v>-4000</v>
      </c>
      <c r="KD6" s="609"/>
    </row>
    <row r="7" spans="1:290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SUM(HY8:HY55)</f>
        <v>198929.86000000002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2528</v>
      </c>
      <c r="IO7" s="492"/>
      <c r="IP7" s="351" t="s">
        <v>2496</v>
      </c>
      <c r="IQ7" s="61">
        <v>17</v>
      </c>
      <c r="IR7" s="320" t="s">
        <v>2467</v>
      </c>
      <c r="IS7" s="583">
        <v>0</v>
      </c>
      <c r="IT7" s="572" t="s">
        <v>2597</v>
      </c>
      <c r="IU7" s="492">
        <v>100</v>
      </c>
      <c r="IV7" s="351" t="s">
        <v>2459</v>
      </c>
      <c r="IW7" s="61">
        <v>11</v>
      </c>
      <c r="IX7" s="661" t="s">
        <v>2679</v>
      </c>
      <c r="IY7" s="272">
        <v>-75000</v>
      </c>
      <c r="IZ7" s="657" t="s">
        <v>2680</v>
      </c>
      <c r="JA7" s="492">
        <v>-30</v>
      </c>
      <c r="JB7" s="192" t="s">
        <v>1002</v>
      </c>
      <c r="JC7" s="61">
        <v>1900.03</v>
      </c>
      <c r="JD7" s="621" t="s">
        <v>2679</v>
      </c>
      <c r="JE7" s="272">
        <v>-75000</v>
      </c>
      <c r="JG7" s="492"/>
      <c r="JH7" s="192" t="s">
        <v>1002</v>
      </c>
      <c r="JI7" s="61">
        <v>1900.04</v>
      </c>
      <c r="JJ7" s="668" t="s">
        <v>2679</v>
      </c>
      <c r="JK7" s="272">
        <v>-75000</v>
      </c>
      <c r="JL7" s="714" t="s">
        <v>2528</v>
      </c>
      <c r="JM7" s="492"/>
      <c r="JN7" s="192" t="s">
        <v>1002</v>
      </c>
      <c r="JO7" s="61">
        <v>1900.05</v>
      </c>
      <c r="JP7" s="254" t="s">
        <v>2606</v>
      </c>
      <c r="JQ7" s="2">
        <f>100*(330+310)</f>
        <v>64000</v>
      </c>
      <c r="JR7" s="782" t="s">
        <v>2886</v>
      </c>
      <c r="JS7" s="541">
        <v>236.43</v>
      </c>
      <c r="JT7" s="925" t="s">
        <v>1002</v>
      </c>
      <c r="JU7" s="582">
        <v>1900.06</v>
      </c>
      <c r="JV7" s="760" t="s">
        <v>2816</v>
      </c>
      <c r="JW7" s="268">
        <v>585077</v>
      </c>
      <c r="JY7" s="541"/>
      <c r="JZ7" s="925" t="s">
        <v>1002</v>
      </c>
      <c r="KA7" s="582"/>
      <c r="KB7" s="799" t="s">
        <v>2816</v>
      </c>
      <c r="KC7" s="268">
        <v>585077</v>
      </c>
      <c r="KD7" s="608">
        <v>45094</v>
      </c>
    </row>
    <row r="8" spans="1:290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2">
        <v>-3061</v>
      </c>
      <c r="IT8" s="606" t="s">
        <v>2595</v>
      </c>
      <c r="IU8" s="492">
        <f>10582.19+14077.74-24508</f>
        <v>151.93000000000029</v>
      </c>
      <c r="IV8" s="351" t="s">
        <v>1002</v>
      </c>
      <c r="IW8" s="61">
        <v>1900.02</v>
      </c>
      <c r="IX8" s="662" t="s">
        <v>2678</v>
      </c>
      <c r="IY8" s="268">
        <v>-4000</v>
      </c>
      <c r="IZ8" s="671"/>
      <c r="JA8" s="492"/>
      <c r="JB8" s="389" t="s">
        <v>2688</v>
      </c>
      <c r="JC8" s="61">
        <v>300.27999999999997</v>
      </c>
      <c r="JD8" s="622" t="s">
        <v>2678</v>
      </c>
      <c r="JE8" s="268">
        <v>-4000</v>
      </c>
      <c r="JF8" s="665" t="s">
        <v>2528</v>
      </c>
      <c r="JG8" s="492"/>
      <c r="JH8" s="389" t="s">
        <v>2754</v>
      </c>
      <c r="JI8" s="61">
        <v>327.74</v>
      </c>
      <c r="JJ8" s="669" t="s">
        <v>2678</v>
      </c>
      <c r="JK8" s="268">
        <v>-4000</v>
      </c>
      <c r="JL8" s="611" t="s">
        <v>2777</v>
      </c>
      <c r="JM8" s="714">
        <v>2.5</v>
      </c>
      <c r="JN8" s="389" t="s">
        <v>2819</v>
      </c>
      <c r="JO8" s="61">
        <v>48.69</v>
      </c>
      <c r="JP8" s="714" t="s">
        <v>2816</v>
      </c>
      <c r="JQ8" s="268">
        <v>515008</v>
      </c>
      <c r="JR8" s="760" t="s">
        <v>2528</v>
      </c>
      <c r="JS8" s="492"/>
      <c r="JT8" s="389" t="s">
        <v>2112</v>
      </c>
      <c r="JU8" s="61">
        <v>1476</v>
      </c>
      <c r="JV8" s="320" t="s">
        <v>2467</v>
      </c>
      <c r="JW8" s="359">
        <v>61</v>
      </c>
      <c r="JX8" s="799" t="s">
        <v>2528</v>
      </c>
      <c r="JY8" s="492"/>
      <c r="JZ8" s="389" t="s">
        <v>2112</v>
      </c>
      <c r="KA8" s="61"/>
      <c r="KB8" s="320" t="s">
        <v>2467</v>
      </c>
      <c r="KC8" s="359">
        <v>61</v>
      </c>
      <c r="KD8" s="608">
        <v>45094</v>
      </c>
    </row>
    <row r="9" spans="1:290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2529</v>
      </c>
      <c r="IO9">
        <f>9.9+76.9</f>
        <v>86.800000000000011</v>
      </c>
      <c r="IP9" s="351" t="s">
        <v>2491</v>
      </c>
      <c r="IQ9" s="61">
        <v>2000</v>
      </c>
      <c r="IR9" s="6" t="s">
        <v>2527</v>
      </c>
      <c r="IS9" s="359">
        <v>116</v>
      </c>
      <c r="IU9" s="492"/>
      <c r="IV9" s="351" t="s">
        <v>2594</v>
      </c>
      <c r="IW9" s="61">
        <v>2000</v>
      </c>
      <c r="IX9" s="254" t="s">
        <v>2606</v>
      </c>
      <c r="IY9" s="2">
        <f>100*(120+1000+330+310)</f>
        <v>176000</v>
      </c>
      <c r="IZ9" s="664" t="s">
        <v>2699</v>
      </c>
      <c r="JA9" s="492">
        <f>544.23-533.02</f>
        <v>11.210000000000036</v>
      </c>
      <c r="JB9" s="389" t="s">
        <v>2713</v>
      </c>
      <c r="JC9" s="61">
        <v>600</v>
      </c>
      <c r="JD9" s="254" t="s">
        <v>2606</v>
      </c>
      <c r="JE9" s="2">
        <f>100*(120+1000+330+310)</f>
        <v>176000</v>
      </c>
      <c r="JF9" s="611" t="s">
        <v>2774</v>
      </c>
      <c r="JH9" s="346" t="s">
        <v>2762</v>
      </c>
      <c r="JI9" s="61">
        <v>1954.8</v>
      </c>
      <c r="JJ9" s="254" t="s">
        <v>2606</v>
      </c>
      <c r="JK9" s="2">
        <f>100*(120+1000+330+310)</f>
        <v>176000</v>
      </c>
      <c r="JL9" s="714" t="s">
        <v>2822</v>
      </c>
      <c r="JM9" s="714">
        <v>4.09</v>
      </c>
      <c r="JN9" s="389" t="s">
        <v>2779</v>
      </c>
      <c r="JO9" s="61">
        <v>127.14</v>
      </c>
      <c r="JP9" s="320" t="s">
        <v>2467</v>
      </c>
      <c r="JQ9" s="359">
        <v>31</v>
      </c>
      <c r="JR9" s="611" t="s">
        <v>2868</v>
      </c>
      <c r="JS9" s="760">
        <v>2.33</v>
      </c>
      <c r="JT9" s="346" t="s">
        <v>2849</v>
      </c>
      <c r="JU9" s="61">
        <v>10</v>
      </c>
      <c r="JV9" s="205" t="s">
        <v>2856</v>
      </c>
      <c r="JW9" s="84">
        <v>0</v>
      </c>
      <c r="JX9" s="611"/>
      <c r="JZ9" s="346" t="s">
        <v>2849</v>
      </c>
      <c r="KA9" s="61"/>
      <c r="KB9" s="205" t="s">
        <v>2856</v>
      </c>
      <c r="KC9" s="84">
        <v>0</v>
      </c>
      <c r="KD9" s="608">
        <v>45094</v>
      </c>
    </row>
    <row r="10" spans="1:290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2534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2" t="s">
        <v>2528</v>
      </c>
      <c r="IU10" s="492"/>
      <c r="IV10" s="389" t="s">
        <v>2674</v>
      </c>
      <c r="IW10" s="532">
        <v>2000</v>
      </c>
      <c r="IX10" s="572" t="s">
        <v>2424</v>
      </c>
      <c r="IY10" s="268">
        <v>360000</v>
      </c>
      <c r="JA10" s="492"/>
      <c r="JB10" s="389" t="s">
        <v>2714</v>
      </c>
      <c r="JC10" s="532">
        <v>454.04</v>
      </c>
      <c r="JD10" s="618" t="s">
        <v>2424</v>
      </c>
      <c r="JE10" s="268">
        <v>590000</v>
      </c>
      <c r="JH10" s="346" t="s">
        <v>2017</v>
      </c>
      <c r="JI10" s="61">
        <v>58.77</v>
      </c>
      <c r="JJ10" s="665" t="s">
        <v>2424</v>
      </c>
      <c r="JK10" s="359">
        <v>0</v>
      </c>
      <c r="JL10" s="714" t="s">
        <v>2412</v>
      </c>
      <c r="JM10" s="514"/>
      <c r="JN10" s="346" t="s">
        <v>2809</v>
      </c>
      <c r="JO10" s="61">
        <f>259.2+410.4</f>
        <v>669.59999999999991</v>
      </c>
      <c r="JP10" s="720" t="s">
        <v>1630</v>
      </c>
      <c r="JQ10" s="442">
        <v>-1063</v>
      </c>
      <c r="JR10" s="611" t="s">
        <v>2882</v>
      </c>
      <c r="JS10" s="782">
        <v>3.4</v>
      </c>
      <c r="JT10" s="346" t="s">
        <v>2898</v>
      </c>
      <c r="JU10" s="533">
        <v>5.38</v>
      </c>
      <c r="JV10" s="780" t="s">
        <v>1630</v>
      </c>
      <c r="JW10" s="442">
        <v>-123</v>
      </c>
      <c r="JX10" s="611"/>
      <c r="JZ10" s="245" t="s">
        <v>2870</v>
      </c>
      <c r="KA10" s="492"/>
      <c r="KB10" s="804" t="s">
        <v>1630</v>
      </c>
      <c r="KC10" s="442">
        <v>-123</v>
      </c>
      <c r="KD10" s="608">
        <v>45097</v>
      </c>
    </row>
    <row r="11" spans="1:290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2535</v>
      </c>
      <c r="IO11" s="565">
        <v>10</v>
      </c>
      <c r="IP11" s="346" t="s">
        <v>2810</v>
      </c>
      <c r="IQ11" s="61">
        <f>406.6+487.92</f>
        <v>894.52</v>
      </c>
      <c r="IR11" s="66" t="s">
        <v>1505</v>
      </c>
      <c r="IS11" s="268">
        <v>364</v>
      </c>
      <c r="IT11" s="572" t="s">
        <v>2603</v>
      </c>
      <c r="IU11" s="492">
        <v>15.03</v>
      </c>
      <c r="IV11" s="389" t="s">
        <v>2598</v>
      </c>
      <c r="IW11" s="532">
        <v>135.25</v>
      </c>
      <c r="IX11" s="320" t="s">
        <v>2467</v>
      </c>
      <c r="IY11" s="583">
        <v>-49.87</v>
      </c>
      <c r="IZ11" s="618" t="s">
        <v>2528</v>
      </c>
      <c r="JA11" s="492"/>
      <c r="JB11" s="346" t="s">
        <v>2809</v>
      </c>
      <c r="JC11" s="61">
        <f>259.2+410.4</f>
        <v>669.59999999999991</v>
      </c>
      <c r="JD11" s="320" t="s">
        <v>2467</v>
      </c>
      <c r="JE11" s="583">
        <v>0</v>
      </c>
      <c r="JF11" s="665" t="s">
        <v>2412</v>
      </c>
      <c r="JG11" s="514"/>
      <c r="JH11" s="346" t="s">
        <v>2689</v>
      </c>
      <c r="JI11" s="61">
        <f>259.2+410.4</f>
        <v>669.59999999999991</v>
      </c>
      <c r="JJ11" s="320" t="s">
        <v>2467</v>
      </c>
      <c r="JK11" s="583">
        <v>-54</v>
      </c>
      <c r="JL11" s="714" t="s">
        <v>2164</v>
      </c>
      <c r="JM11" s="728">
        <v>52.000999999999998</v>
      </c>
      <c r="JN11" s="245" t="s">
        <v>2870</v>
      </c>
      <c r="JO11" s="492">
        <v>1396.9</v>
      </c>
      <c r="JP11" s="718" t="s">
        <v>2800</v>
      </c>
      <c r="JQ11" s="268">
        <v>2600</v>
      </c>
      <c r="JR11" s="611" t="s">
        <v>2906</v>
      </c>
      <c r="JS11" s="492">
        <v>1.21</v>
      </c>
      <c r="JT11" s="245" t="s">
        <v>2870</v>
      </c>
      <c r="JU11" s="492">
        <v>1371.77</v>
      </c>
      <c r="JV11" s="763" t="s">
        <v>2800</v>
      </c>
      <c r="JW11" s="268">
        <v>2600</v>
      </c>
      <c r="JX11" s="799" t="s">
        <v>2412</v>
      </c>
      <c r="JY11" s="514"/>
      <c r="JZ11" s="245" t="s">
        <v>2871</v>
      </c>
      <c r="KA11" s="492"/>
      <c r="KB11" s="802" t="s">
        <v>2800</v>
      </c>
      <c r="KC11" s="268">
        <v>2600</v>
      </c>
      <c r="KD11" s="608">
        <v>45094</v>
      </c>
    </row>
    <row r="12" spans="1:290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2" t="s">
        <v>2622</v>
      </c>
      <c r="IU12" s="572">
        <v>25.58</v>
      </c>
      <c r="IV12" s="389" t="s">
        <v>2570</v>
      </c>
      <c r="IW12" s="532">
        <v>378.81</v>
      </c>
      <c r="IX12" s="576" t="s">
        <v>1630</v>
      </c>
      <c r="IY12" s="582">
        <v>-997</v>
      </c>
      <c r="IZ12" s="618" t="s">
        <v>2663</v>
      </c>
      <c r="JA12" s="618">
        <v>30</v>
      </c>
      <c r="JB12" s="346" t="s">
        <v>2624</v>
      </c>
      <c r="JC12" s="533">
        <v>52.89</v>
      </c>
      <c r="JD12" s="621" t="s">
        <v>1630</v>
      </c>
      <c r="JE12" s="583">
        <v>-260</v>
      </c>
      <c r="JF12" s="665" t="s">
        <v>2164</v>
      </c>
      <c r="JG12" s="514">
        <f>72.14+1.23</f>
        <v>73.37</v>
      </c>
      <c r="JH12" s="245" t="s">
        <v>2755</v>
      </c>
      <c r="JI12" s="723">
        <f>2.88%/365*(20*140000+21*140220)</f>
        <v>453.27412602739724</v>
      </c>
      <c r="JJ12" s="668" t="s">
        <v>1630</v>
      </c>
      <c r="JK12" s="321">
        <v>-540</v>
      </c>
      <c r="JL12" s="714" t="s">
        <v>1799</v>
      </c>
      <c r="JM12" s="61">
        <v>13.11</v>
      </c>
      <c r="JN12" s="245" t="s">
        <v>2818</v>
      </c>
      <c r="JO12" s="492">
        <v>110000</v>
      </c>
      <c r="JP12" s="721" t="s">
        <v>2801</v>
      </c>
      <c r="JQ12" s="268">
        <v>682</v>
      </c>
      <c r="JR12" s="611" t="s">
        <v>2905</v>
      </c>
      <c r="JS12" s="808"/>
      <c r="JT12" s="245" t="s">
        <v>2871</v>
      </c>
      <c r="JU12" s="492">
        <v>1478.09</v>
      </c>
      <c r="JV12" s="766" t="s">
        <v>2801</v>
      </c>
      <c r="JW12" s="268">
        <v>800</v>
      </c>
      <c r="JX12" s="799" t="s">
        <v>2164</v>
      </c>
      <c r="JY12" s="807"/>
      <c r="JZ12" s="245" t="s">
        <v>2620</v>
      </c>
      <c r="KA12" s="52"/>
      <c r="KB12" s="803" t="s">
        <v>2801</v>
      </c>
      <c r="KC12" s="268">
        <v>800</v>
      </c>
      <c r="KD12" s="608">
        <v>45094</v>
      </c>
    </row>
    <row r="13" spans="1:290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2540</v>
      </c>
      <c r="IQ13" s="407">
        <f>2750.62/3</f>
        <v>916.87333333333333</v>
      </c>
      <c r="IR13" s="254" t="s">
        <v>2544</v>
      </c>
      <c r="IS13" s="2">
        <v>142</v>
      </c>
      <c r="IV13" s="346" t="s">
        <v>2596</v>
      </c>
      <c r="IW13" s="533">
        <v>170</v>
      </c>
      <c r="IX13" s="574" t="s">
        <v>1838</v>
      </c>
      <c r="IY13" s="496">
        <v>2600</v>
      </c>
      <c r="JB13" s="663" t="s">
        <v>2698</v>
      </c>
      <c r="JC13" s="533">
        <f>80-40</f>
        <v>40</v>
      </c>
      <c r="JD13" s="619" t="s">
        <v>1838</v>
      </c>
      <c r="JE13" s="517">
        <v>2600</v>
      </c>
      <c r="JF13" s="665" t="s">
        <v>2794</v>
      </c>
      <c r="JG13" s="492">
        <v>22.41</v>
      </c>
      <c r="JH13" s="245" t="s">
        <v>2776</v>
      </c>
      <c r="JI13" s="723"/>
      <c r="JJ13" s="666" t="s">
        <v>1838</v>
      </c>
      <c r="JK13" s="268">
        <v>2600</v>
      </c>
      <c r="JL13" s="714" t="s">
        <v>2828</v>
      </c>
      <c r="JM13" s="729">
        <v>5.9</v>
      </c>
      <c r="JN13" s="245" t="s">
        <v>2839</v>
      </c>
      <c r="JO13" s="52">
        <f>JO14*4</f>
        <v>5080.7519999999995</v>
      </c>
      <c r="JP13" s="721" t="s">
        <v>2802</v>
      </c>
      <c r="JQ13" s="268">
        <v>895</v>
      </c>
      <c r="JR13" s="760" t="s">
        <v>2412</v>
      </c>
      <c r="JS13" s="514"/>
      <c r="JT13" s="245" t="s">
        <v>2620</v>
      </c>
      <c r="JU13" s="52">
        <f>JU14*4</f>
        <v>2540.3759999999997</v>
      </c>
      <c r="JV13" s="766" t="s">
        <v>2802</v>
      </c>
      <c r="JW13" s="268">
        <v>597</v>
      </c>
      <c r="JX13" s="799" t="s">
        <v>1799</v>
      </c>
      <c r="JY13" s="728"/>
      <c r="JZ13" s="345" t="s">
        <v>2538</v>
      </c>
      <c r="KA13" s="52"/>
      <c r="KB13" s="803" t="s">
        <v>2802</v>
      </c>
      <c r="KC13" s="268">
        <v>597</v>
      </c>
      <c r="KD13" s="608">
        <v>45094</v>
      </c>
    </row>
    <row r="14" spans="1:290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834" t="s">
        <v>2186</v>
      </c>
      <c r="HK14" s="834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2605</v>
      </c>
      <c r="HY14" s="2">
        <f>-IA6</f>
        <v>1.35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2542</v>
      </c>
      <c r="IT14" s="572" t="s">
        <v>2412</v>
      </c>
      <c r="IU14" s="514"/>
      <c r="IV14" s="245" t="s">
        <v>2620</v>
      </c>
      <c r="IW14" s="2">
        <f>IW15*2</f>
        <v>2116.9666666666667</v>
      </c>
      <c r="IX14" s="575" t="s">
        <v>1505</v>
      </c>
      <c r="IY14" s="268">
        <v>983</v>
      </c>
      <c r="IZ14" s="618" t="s">
        <v>2412</v>
      </c>
      <c r="JA14" s="514"/>
      <c r="JB14" s="245" t="s">
        <v>2697</v>
      </c>
      <c r="JC14" s="647">
        <v>26.001000000000001</v>
      </c>
      <c r="JD14" s="622" t="s">
        <v>1505</v>
      </c>
      <c r="JE14" s="268">
        <v>635</v>
      </c>
      <c r="JF14" s="704" t="s">
        <v>2760</v>
      </c>
      <c r="JG14" s="492">
        <v>118.15</v>
      </c>
      <c r="JH14" s="245" t="s">
        <v>2817</v>
      </c>
      <c r="JI14" s="492">
        <v>1422.53</v>
      </c>
      <c r="JJ14" s="669" t="s">
        <v>1505</v>
      </c>
      <c r="JK14" s="268">
        <v>966</v>
      </c>
      <c r="JL14" s="782" t="s">
        <v>2859</v>
      </c>
      <c r="JM14" s="510">
        <v>1.96</v>
      </c>
      <c r="JN14" s="345" t="s">
        <v>2840</v>
      </c>
      <c r="JO14" s="52">
        <f>(3175.47/5)*2</f>
        <v>1270.1879999999999</v>
      </c>
      <c r="JP14" s="721" t="s">
        <v>2803</v>
      </c>
      <c r="JQ14" s="268">
        <v>76</v>
      </c>
      <c r="JR14" s="582" t="s">
        <v>2164</v>
      </c>
      <c r="JS14" s="728">
        <f>54.27+1.49</f>
        <v>55.760000000000005</v>
      </c>
      <c r="JT14" s="345" t="s">
        <v>2538</v>
      </c>
      <c r="JU14" s="52">
        <f>(3175.47/5)</f>
        <v>635.09399999999994</v>
      </c>
      <c r="JV14" s="766" t="s">
        <v>2803</v>
      </c>
      <c r="JW14" s="268">
        <v>561</v>
      </c>
      <c r="JX14" s="9" t="s">
        <v>2684</v>
      </c>
      <c r="JY14" s="729"/>
      <c r="JZ14" s="345" t="s">
        <v>2553</v>
      </c>
      <c r="KA14" s="61"/>
      <c r="KB14" s="803" t="s">
        <v>2803</v>
      </c>
      <c r="KC14" s="268">
        <v>561</v>
      </c>
      <c r="KD14" s="608" t="s">
        <v>2903</v>
      </c>
    </row>
    <row r="15" spans="1:290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76" t="s">
        <v>1504</v>
      </c>
      <c r="DP15" s="877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2" t="s">
        <v>2602</v>
      </c>
      <c r="IU15" s="514">
        <v>43</v>
      </c>
      <c r="IV15" s="345" t="s">
        <v>2538</v>
      </c>
      <c r="IW15" s="2">
        <f>3175.45/3</f>
        <v>1058.4833333333333</v>
      </c>
      <c r="IX15" s="575" t="s">
        <v>1506</v>
      </c>
      <c r="IY15" s="268">
        <v>618</v>
      </c>
      <c r="IZ15" s="618" t="s">
        <v>2164</v>
      </c>
      <c r="JA15" s="514">
        <v>52.000999999999998</v>
      </c>
      <c r="JB15" s="245" t="s">
        <v>1835</v>
      </c>
      <c r="JC15" s="647">
        <v>2000</v>
      </c>
      <c r="JD15" s="622" t="s">
        <v>1506</v>
      </c>
      <c r="JE15" s="268">
        <v>1778</v>
      </c>
      <c r="JF15" s="665" t="s">
        <v>2705</v>
      </c>
      <c r="JG15" s="665">
        <f>6.24+2.24</f>
        <v>8.48</v>
      </c>
      <c r="JH15" s="388" t="s">
        <v>2756</v>
      </c>
      <c r="JI15" s="492">
        <v>155000</v>
      </c>
      <c r="JJ15" s="669" t="s">
        <v>1506</v>
      </c>
      <c r="JK15" s="268">
        <v>1556</v>
      </c>
      <c r="JL15" s="714" t="s">
        <v>2863</v>
      </c>
      <c r="JM15" s="61">
        <f>25.72</f>
        <v>25.72</v>
      </c>
      <c r="JN15" s="345" t="s">
        <v>2553</v>
      </c>
      <c r="JO15" s="61">
        <v>53.91</v>
      </c>
      <c r="JP15" s="721" t="s">
        <v>2808</v>
      </c>
      <c r="JQ15" s="607">
        <v>2441</v>
      </c>
      <c r="JR15" s="774" t="s">
        <v>2854</v>
      </c>
      <c r="JS15" s="729">
        <v>200</v>
      </c>
      <c r="JT15" s="345" t="s">
        <v>2553</v>
      </c>
      <c r="JU15" s="61">
        <v>75.430000000000007</v>
      </c>
      <c r="JV15" s="766" t="s">
        <v>2808</v>
      </c>
      <c r="JW15" s="268">
        <v>2151</v>
      </c>
      <c r="JY15" s="729"/>
      <c r="JZ15" s="345" t="s">
        <v>2711</v>
      </c>
      <c r="KA15" s="61"/>
      <c r="KB15" s="803" t="s">
        <v>2808</v>
      </c>
      <c r="KC15" s="268">
        <v>2151</v>
      </c>
      <c r="KD15" s="608">
        <v>45097</v>
      </c>
    </row>
    <row r="16" spans="1:290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2684</v>
      </c>
      <c r="IU16" s="492">
        <v>7.57</v>
      </c>
      <c r="IV16" s="345" t="s">
        <v>2553</v>
      </c>
      <c r="IW16" s="61">
        <v>47.54</v>
      </c>
      <c r="IX16" s="575" t="s">
        <v>2547</v>
      </c>
      <c r="IY16" s="268">
        <v>24</v>
      </c>
      <c r="IZ16" s="735" t="s">
        <v>2794</v>
      </c>
      <c r="JA16" s="492">
        <v>16.05</v>
      </c>
      <c r="JB16" s="245" t="s">
        <v>2620</v>
      </c>
      <c r="JC16" s="52">
        <f>JC17*2</f>
        <v>2116.98</v>
      </c>
      <c r="JD16" s="622" t="s">
        <v>2695</v>
      </c>
      <c r="JE16" s="268">
        <v>89</v>
      </c>
      <c r="JF16" s="401" t="s">
        <v>2739</v>
      </c>
      <c r="JG16" s="510">
        <v>379.39</v>
      </c>
      <c r="JH16" s="345" t="s">
        <v>2768</v>
      </c>
      <c r="JI16" s="61" t="s">
        <v>657</v>
      </c>
      <c r="JJ16" s="669" t="s">
        <v>2695</v>
      </c>
      <c r="JK16" s="268">
        <v>4000</v>
      </c>
      <c r="JL16" s="782" t="s">
        <v>2864</v>
      </c>
      <c r="JM16" s="61">
        <f>180.39+64.94+57.72</f>
        <v>303.04999999999995</v>
      </c>
      <c r="JN16" s="345" t="s">
        <v>2711</v>
      </c>
      <c r="JO16" s="61">
        <v>23.96</v>
      </c>
      <c r="JP16" s="254" t="s">
        <v>2804</v>
      </c>
      <c r="JQ16" s="607"/>
      <c r="JR16" s="796" t="s">
        <v>2881</v>
      </c>
      <c r="JS16" s="729">
        <v>300</v>
      </c>
      <c r="JT16" s="345" t="s">
        <v>2711</v>
      </c>
      <c r="JU16" s="61">
        <v>129.6</v>
      </c>
      <c r="JV16" s="254" t="s">
        <v>2804</v>
      </c>
      <c r="JW16" s="607"/>
      <c r="JY16" s="729"/>
      <c r="JZ16" s="345" t="s">
        <v>2623</v>
      </c>
      <c r="KA16" s="534" t="s">
        <v>2904</v>
      </c>
      <c r="KB16" s="254" t="s">
        <v>2804</v>
      </c>
      <c r="KC16" s="607"/>
      <c r="KD16" s="608"/>
    </row>
    <row r="17" spans="1:290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58" t="s">
        <v>1799</v>
      </c>
      <c r="IU17" s="572">
        <v>13.86</v>
      </c>
      <c r="IV17" s="345" t="s">
        <v>2176</v>
      </c>
      <c r="IW17" s="572">
        <f>30+59.31</f>
        <v>89.31</v>
      </c>
      <c r="IX17" s="490" t="s">
        <v>2468</v>
      </c>
      <c r="IY17" s="242">
        <v>65005</v>
      </c>
      <c r="IZ17" s="646" t="s">
        <v>2705</v>
      </c>
      <c r="JA17" s="646">
        <f>5.9+2.12</f>
        <v>8.02</v>
      </c>
      <c r="JB17" s="345" t="s">
        <v>2538</v>
      </c>
      <c r="JC17" s="52">
        <f>3175.47/3</f>
        <v>1058.49</v>
      </c>
      <c r="JD17" s="490" t="s">
        <v>2468</v>
      </c>
      <c r="JE17" s="268">
        <v>65005</v>
      </c>
      <c r="JF17" s="401" t="s">
        <v>2740</v>
      </c>
      <c r="JG17" s="665">
        <v>442.61</v>
      </c>
      <c r="JH17" s="345" t="s">
        <v>2691</v>
      </c>
      <c r="JI17" s="61">
        <v>59.36</v>
      </c>
      <c r="JJ17" s="681" t="s">
        <v>2737</v>
      </c>
      <c r="JK17" s="268">
        <f>25000.29+90000.29+140000.29+10000</f>
        <v>265000.87</v>
      </c>
      <c r="JL17" s="401" t="s">
        <v>2830</v>
      </c>
      <c r="JM17" s="510">
        <f>228.82+344.82+65.55+23.84</f>
        <v>663.03</v>
      </c>
      <c r="JN17" s="345" t="s">
        <v>2712</v>
      </c>
      <c r="JO17" s="61">
        <v>30</v>
      </c>
      <c r="JP17" s="721" t="s">
        <v>2805</v>
      </c>
      <c r="JQ17" s="268">
        <v>0</v>
      </c>
      <c r="JR17" s="782" t="s">
        <v>2859</v>
      </c>
      <c r="JS17" s="729">
        <v>2.95</v>
      </c>
      <c r="JT17" s="345" t="s">
        <v>2900</v>
      </c>
      <c r="JU17" s="534">
        <v>131.6</v>
      </c>
      <c r="JV17" s="766" t="s">
        <v>2805</v>
      </c>
      <c r="JW17" s="268">
        <v>0</v>
      </c>
      <c r="JY17" s="729"/>
      <c r="JZ17" s="345" t="s">
        <v>1195</v>
      </c>
      <c r="KA17" s="61"/>
      <c r="KB17" s="803" t="s">
        <v>2805</v>
      </c>
      <c r="KC17" s="268">
        <v>0</v>
      </c>
      <c r="KD17" s="608">
        <v>45094</v>
      </c>
    </row>
    <row r="18" spans="1:290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35" t="s">
        <v>2794</v>
      </c>
      <c r="IU18" s="492">
        <v>14</v>
      </c>
      <c r="IV18" s="345" t="s">
        <v>2625</v>
      </c>
      <c r="IW18" s="534">
        <v>110.02</v>
      </c>
      <c r="IX18" s="575" t="s">
        <v>2545</v>
      </c>
      <c r="IY18" s="607">
        <v>4175</v>
      </c>
      <c r="IZ18" s="401"/>
      <c r="JA18" s="510"/>
      <c r="JB18" s="345" t="s">
        <v>2616</v>
      </c>
      <c r="JC18" s="61">
        <v>110.79</v>
      </c>
      <c r="JD18" s="622" t="s">
        <v>2696</v>
      </c>
      <c r="JE18" s="607">
        <v>3083</v>
      </c>
      <c r="JF18" s="401"/>
      <c r="JG18" s="510"/>
      <c r="JH18" s="345" t="s">
        <v>2712</v>
      </c>
      <c r="JI18" s="61">
        <v>30</v>
      </c>
      <c r="JJ18" s="669" t="s">
        <v>2696</v>
      </c>
      <c r="JK18" s="268">
        <v>99936</v>
      </c>
      <c r="JL18" s="724" t="s">
        <v>2826</v>
      </c>
      <c r="JM18" s="724">
        <v>2</v>
      </c>
      <c r="JN18" s="345" t="s">
        <v>2623</v>
      </c>
      <c r="JO18" s="534">
        <v>157.54</v>
      </c>
      <c r="JP18" s="721" t="s">
        <v>2690</v>
      </c>
      <c r="JQ18" s="268">
        <v>14</v>
      </c>
      <c r="JR18" s="10" t="s">
        <v>2863</v>
      </c>
      <c r="JS18" s="790">
        <f>28.96</f>
        <v>28.96</v>
      </c>
      <c r="JT18" s="345" t="s">
        <v>1195</v>
      </c>
      <c r="JU18" s="61">
        <f>15+6.5</f>
        <v>21.5</v>
      </c>
      <c r="JV18" s="766" t="s">
        <v>2690</v>
      </c>
      <c r="JW18" s="268">
        <v>15</v>
      </c>
      <c r="JY18" s="510"/>
      <c r="JZ18" s="345" t="s">
        <v>2813</v>
      </c>
      <c r="KA18" s="61"/>
      <c r="KB18" s="803" t="s">
        <v>2690</v>
      </c>
      <c r="KC18" s="268">
        <v>15</v>
      </c>
      <c r="KD18" s="608">
        <v>45094</v>
      </c>
    </row>
    <row r="19" spans="1:290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76" t="s">
        <v>1474</v>
      </c>
      <c r="DJ19" s="877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35" t="s">
        <v>2794</v>
      </c>
      <c r="IO19" s="492">
        <v>5</v>
      </c>
      <c r="IP19" s="345" t="s">
        <v>2526</v>
      </c>
      <c r="IQ19" s="61">
        <f>IM29</f>
        <v>21.35</v>
      </c>
      <c r="IR19" s="1" t="s">
        <v>2455</v>
      </c>
      <c r="IS19">
        <v>170</v>
      </c>
      <c r="IT19" s="402" t="s">
        <v>2632</v>
      </c>
      <c r="IU19" s="510">
        <v>6</v>
      </c>
      <c r="IV19" s="345" t="s">
        <v>2188</v>
      </c>
      <c r="IW19" s="61">
        <f>9</f>
        <v>9</v>
      </c>
      <c r="IX19" s="617" t="s">
        <v>2621</v>
      </c>
      <c r="IY19" s="268">
        <v>10</v>
      </c>
      <c r="IZ19" s="660"/>
      <c r="JA19" s="660"/>
      <c r="JB19" s="345" t="s">
        <v>2711</v>
      </c>
      <c r="JC19" s="61">
        <v>109.57</v>
      </c>
      <c r="JD19" s="645" t="s">
        <v>2675</v>
      </c>
      <c r="JE19" s="268">
        <v>0</v>
      </c>
      <c r="JF19" s="683"/>
      <c r="JG19" s="683"/>
      <c r="JH19" s="345" t="s">
        <v>2623</v>
      </c>
      <c r="JI19" s="534">
        <v>115.37</v>
      </c>
      <c r="JJ19" s="669" t="s">
        <v>2675</v>
      </c>
      <c r="JK19" s="268">
        <v>0</v>
      </c>
      <c r="JL19" s="401"/>
      <c r="JM19" s="510"/>
      <c r="JN19" s="345" t="s">
        <v>1195</v>
      </c>
      <c r="JO19" s="61">
        <f>15+6.5+30</f>
        <v>51.5</v>
      </c>
      <c r="JP19" s="720" t="s">
        <v>2686</v>
      </c>
      <c r="JQ19" s="2">
        <v>210</v>
      </c>
      <c r="JR19" s="11" t="s">
        <v>2864</v>
      </c>
      <c r="JS19" s="791">
        <f>183.29+65.98+58.65</f>
        <v>307.91999999999996</v>
      </c>
      <c r="JT19" s="345" t="s">
        <v>2813</v>
      </c>
      <c r="JU19" s="61">
        <f>9+14.32</f>
        <v>23.32</v>
      </c>
      <c r="JV19" s="765" t="s">
        <v>2686</v>
      </c>
      <c r="JW19" s="2">
        <v>240</v>
      </c>
      <c r="JX19" s="797" t="s">
        <v>2788</v>
      </c>
      <c r="JY19" s="797"/>
      <c r="JZ19" s="345" t="s">
        <v>2784</v>
      </c>
      <c r="KA19" s="203"/>
      <c r="KB19" s="804" t="s">
        <v>2686</v>
      </c>
      <c r="KC19" s="2">
        <v>240</v>
      </c>
      <c r="KD19" s="608">
        <v>45094</v>
      </c>
    </row>
    <row r="20" spans="1:290" x14ac:dyDescent="0.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11" t="s">
        <v>2764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6" t="s">
        <v>2541</v>
      </c>
      <c r="IY20" s="572">
        <v>190</v>
      </c>
      <c r="IZ20" s="401"/>
      <c r="JA20" s="510"/>
      <c r="JB20" s="345" t="s">
        <v>2715</v>
      </c>
      <c r="JC20" s="61">
        <f>10+30</f>
        <v>40</v>
      </c>
      <c r="JD20" s="622" t="s">
        <v>2690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21" t="s">
        <v>2775</v>
      </c>
      <c r="JK20" s="583">
        <v>44.23</v>
      </c>
      <c r="JN20" s="345" t="s">
        <v>2813</v>
      </c>
      <c r="JO20" s="61">
        <f>9+14.32</f>
        <v>23.32</v>
      </c>
      <c r="JP20" s="720" t="s">
        <v>2685</v>
      </c>
      <c r="JQ20" s="2"/>
      <c r="JR20" s="11" t="s">
        <v>2865</v>
      </c>
      <c r="JS20" s="792">
        <v>15.42</v>
      </c>
      <c r="JT20" s="345" t="s">
        <v>2784</v>
      </c>
      <c r="JU20" s="203">
        <f>64+64+3</f>
        <v>131</v>
      </c>
      <c r="JV20" s="765" t="s">
        <v>2685</v>
      </c>
      <c r="JW20" s="2"/>
      <c r="JX20" s="925" t="s">
        <v>1959</v>
      </c>
      <c r="JY20" s="273">
        <f>SUM(KA6:KA7)</f>
        <v>0</v>
      </c>
      <c r="JZ20" s="345" t="s">
        <v>2879</v>
      </c>
      <c r="KA20" s="203"/>
      <c r="KB20" s="804" t="s">
        <v>2685</v>
      </c>
      <c r="KC20" s="2"/>
      <c r="KD20" s="608"/>
    </row>
    <row r="21" spans="1:290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10" t="s">
        <v>2763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2517</v>
      </c>
      <c r="IQ21" s="61">
        <v>30</v>
      </c>
      <c r="IR21" s="7" t="s">
        <v>2454</v>
      </c>
      <c r="IS21">
        <v>2007</v>
      </c>
      <c r="IT21" s="402"/>
      <c r="IV21" s="337" t="s">
        <v>2607</v>
      </c>
      <c r="IW21" s="61">
        <v>80</v>
      </c>
      <c r="IX21" s="578" t="s">
        <v>2454</v>
      </c>
      <c r="IY21" s="572">
        <v>2013</v>
      </c>
      <c r="IZ21" s="401"/>
      <c r="JA21" s="510"/>
      <c r="JB21" s="345" t="s">
        <v>2623</v>
      </c>
      <c r="JC21" s="534">
        <v>115.37</v>
      </c>
      <c r="JD21" s="661" t="s">
        <v>2686</v>
      </c>
      <c r="JE21" s="618">
        <v>130</v>
      </c>
      <c r="JF21" s="401"/>
      <c r="JG21" s="510"/>
      <c r="JH21" s="345" t="s">
        <v>2746</v>
      </c>
      <c r="JI21" s="61">
        <v>27</v>
      </c>
      <c r="JJ21" s="669" t="s">
        <v>2690</v>
      </c>
      <c r="JK21" s="607">
        <v>10</v>
      </c>
      <c r="JL21" s="401"/>
      <c r="JM21" s="510"/>
      <c r="JN21" s="345" t="s">
        <v>2366</v>
      </c>
      <c r="JO21" s="61">
        <f>11.94+10+20.54+17.31+14.45+15.78+10</f>
        <v>100.02</v>
      </c>
      <c r="JP21" s="722" t="s">
        <v>2454</v>
      </c>
      <c r="JQ21" s="2">
        <v>1000</v>
      </c>
      <c r="JR21" s="793" t="s">
        <v>2862</v>
      </c>
      <c r="JS21" s="794">
        <f>783.33+1167.38+1493.5+2179.3</f>
        <v>5623.51</v>
      </c>
      <c r="JT21" s="345" t="s">
        <v>2879</v>
      </c>
      <c r="JU21" s="203">
        <v>6.97</v>
      </c>
      <c r="JV21" s="767" t="s">
        <v>2454</v>
      </c>
      <c r="JW21" s="2">
        <v>1000</v>
      </c>
      <c r="JX21" s="388" t="s">
        <v>2873</v>
      </c>
      <c r="JY21" s="273">
        <f>SUM(KA10:KA12)</f>
        <v>0</v>
      </c>
      <c r="JZ21" s="345" t="s">
        <v>2366</v>
      </c>
      <c r="KA21" s="61"/>
      <c r="KB21" s="806" t="s">
        <v>2454</v>
      </c>
      <c r="KC21" s="2">
        <v>1000</v>
      </c>
      <c r="KD21" s="108">
        <v>45076</v>
      </c>
    </row>
    <row r="22" spans="1:290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69" t="s">
        <v>507</v>
      </c>
      <c r="N22" s="869"/>
      <c r="Q22" s="166" t="s">
        <v>365</v>
      </c>
      <c r="S22" s="869" t="s">
        <v>507</v>
      </c>
      <c r="T22" s="869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66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823" t="s">
        <v>2171</v>
      </c>
      <c r="IU22" s="823"/>
      <c r="IV22" s="337" t="s">
        <v>2599</v>
      </c>
      <c r="IW22" s="61">
        <v>42.51</v>
      </c>
      <c r="IX22" s="577" t="s">
        <v>2480</v>
      </c>
      <c r="IZ22" s="401"/>
      <c r="JA22" s="510"/>
      <c r="JB22" s="345" t="s">
        <v>1195</v>
      </c>
      <c r="JC22" s="61">
        <f>13+30</f>
        <v>43</v>
      </c>
      <c r="JD22" s="621" t="s">
        <v>2685</v>
      </c>
      <c r="JH22" s="345" t="s">
        <v>2188</v>
      </c>
      <c r="JI22" s="61">
        <f>9+14.32</f>
        <v>23.32</v>
      </c>
      <c r="JJ22" s="668" t="s">
        <v>2686</v>
      </c>
      <c r="JK22" s="665">
        <v>230</v>
      </c>
      <c r="JL22" s="401"/>
      <c r="JM22" s="510"/>
      <c r="JN22" s="337" t="s">
        <v>2812</v>
      </c>
      <c r="JO22" s="61">
        <v>2953</v>
      </c>
      <c r="JP22" s="730" t="s">
        <v>2480</v>
      </c>
      <c r="JQ22" s="2"/>
      <c r="JR22" s="793" t="s">
        <v>2872</v>
      </c>
      <c r="JS22" s="794"/>
      <c r="JT22" s="345" t="s">
        <v>2366</v>
      </c>
      <c r="JU22" s="61">
        <f>17.57+15.78+10+10+16.81+16.4+1.52+17.15+1.19+10.85</f>
        <v>117.26999999999998</v>
      </c>
      <c r="JV22" s="764" t="s">
        <v>2480</v>
      </c>
      <c r="JW22" s="61"/>
      <c r="JX22" s="350" t="s">
        <v>1392</v>
      </c>
      <c r="JY22" s="2">
        <f>SUM(KA8:KA8)</f>
        <v>0</v>
      </c>
      <c r="JZ22" s="337" t="s">
        <v>2866</v>
      </c>
      <c r="KA22" s="61"/>
      <c r="KB22" s="805" t="s">
        <v>2480</v>
      </c>
      <c r="KC22" s="61"/>
    </row>
    <row r="23" spans="1:290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67" t="s">
        <v>990</v>
      </c>
      <c r="N23" s="867"/>
      <c r="Q23" s="166" t="s">
        <v>369</v>
      </c>
      <c r="S23" s="867" t="s">
        <v>990</v>
      </c>
      <c r="T23" s="867"/>
      <c r="W23" s="244" t="s">
        <v>1019</v>
      </c>
      <c r="X23" s="142">
        <v>0</v>
      </c>
      <c r="Y23" s="869" t="s">
        <v>507</v>
      </c>
      <c r="Z23" s="869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66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23" t="s">
        <v>2171</v>
      </c>
      <c r="HK23" s="823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823" t="s">
        <v>2171</v>
      </c>
      <c r="HW23" s="823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2614</v>
      </c>
      <c r="IW23" s="61">
        <v>45.98</v>
      </c>
      <c r="IX23" s="577"/>
      <c r="IZ23" s="402"/>
      <c r="JA23" s="646"/>
      <c r="JB23" s="345" t="s">
        <v>2188</v>
      </c>
      <c r="JC23" s="61">
        <f>9+14.32</f>
        <v>23.32</v>
      </c>
      <c r="JD23" s="623" t="s">
        <v>2454</v>
      </c>
      <c r="JE23" s="618">
        <v>1000</v>
      </c>
      <c r="JF23" s="401"/>
      <c r="JG23" s="510"/>
      <c r="JH23" s="703" t="s">
        <v>2747</v>
      </c>
      <c r="JI23" s="533">
        <v>4.05</v>
      </c>
      <c r="JJ23" s="668" t="s">
        <v>2685</v>
      </c>
      <c r="JL23" s="402"/>
      <c r="JN23" s="337" t="s">
        <v>2783</v>
      </c>
      <c r="JO23" s="61">
        <v>50.23</v>
      </c>
      <c r="JP23" s="746" t="s">
        <v>2821</v>
      </c>
      <c r="JQ23" s="2">
        <v>14.8</v>
      </c>
      <c r="JR23" s="770"/>
      <c r="JS23" s="510"/>
      <c r="JT23" s="337" t="s">
        <v>2866</v>
      </c>
      <c r="JU23" s="61">
        <v>10</v>
      </c>
      <c r="JV23" s="764" t="s">
        <v>2472</v>
      </c>
      <c r="JW23" s="61"/>
      <c r="JX23" s="346" t="s">
        <v>2166</v>
      </c>
      <c r="JY23" s="2">
        <f>SUM(KA9:KA9)</f>
        <v>0</v>
      </c>
      <c r="JZ23" s="337" t="s">
        <v>2867</v>
      </c>
      <c r="KA23" s="61"/>
      <c r="KB23" s="805" t="s">
        <v>2472</v>
      </c>
      <c r="KC23" s="61"/>
    </row>
    <row r="24" spans="1:290" x14ac:dyDescent="0.2">
      <c r="A24" s="869" t="s">
        <v>507</v>
      </c>
      <c r="B24" s="869"/>
      <c r="E24" s="164" t="s">
        <v>237</v>
      </c>
      <c r="F24" s="166"/>
      <c r="G24" s="869" t="s">
        <v>507</v>
      </c>
      <c r="H24" s="869"/>
      <c r="K24" s="244" t="s">
        <v>1019</v>
      </c>
      <c r="L24" s="142">
        <v>0</v>
      </c>
      <c r="M24" s="846"/>
      <c r="N24" s="846"/>
      <c r="Q24" s="166" t="s">
        <v>1056</v>
      </c>
      <c r="S24" s="846"/>
      <c r="T24" s="846"/>
      <c r="W24" s="244" t="s">
        <v>1027</v>
      </c>
      <c r="X24" s="205">
        <v>0</v>
      </c>
      <c r="Y24" s="867" t="s">
        <v>990</v>
      </c>
      <c r="Z24" s="867"/>
      <c r="AC24"/>
      <c r="AE24" s="869" t="s">
        <v>507</v>
      </c>
      <c r="AF24" s="869"/>
      <c r="AI24"/>
      <c r="AK24" s="869" t="s">
        <v>507</v>
      </c>
      <c r="AL24" s="869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65" t="s">
        <v>1536</v>
      </c>
      <c r="EF24" s="865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66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66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2617</v>
      </c>
      <c r="IW24" s="61">
        <v>45.2</v>
      </c>
      <c r="IX24" s="577" t="s">
        <v>2423</v>
      </c>
      <c r="JB24" s="345" t="s">
        <v>2464</v>
      </c>
      <c r="JC24" s="61">
        <v>96</v>
      </c>
      <c r="JD24" s="620"/>
      <c r="JF24" s="401"/>
      <c r="JG24" s="510"/>
      <c r="JH24" s="345" t="s">
        <v>2366</v>
      </c>
      <c r="JI24" s="61">
        <f>15.55+10+15.6+17.36+16.4+10+14.01+16.99+15.65</f>
        <v>131.56</v>
      </c>
      <c r="JJ24" s="670" t="s">
        <v>2454</v>
      </c>
      <c r="JK24" s="665">
        <v>1000</v>
      </c>
      <c r="JN24" s="337" t="s">
        <v>2790</v>
      </c>
      <c r="JO24" s="61">
        <f>9+2</f>
        <v>11</v>
      </c>
      <c r="JP24" s="719" t="s">
        <v>2472</v>
      </c>
      <c r="JQ24" s="2"/>
      <c r="JR24" s="758" t="s">
        <v>2788</v>
      </c>
      <c r="JS24" s="758"/>
      <c r="JT24" s="337" t="s">
        <v>2899</v>
      </c>
      <c r="JU24" s="61">
        <v>48.2</v>
      </c>
      <c r="JV24" s="768" t="s">
        <v>2855</v>
      </c>
      <c r="JW24" s="61">
        <v>453.6</v>
      </c>
      <c r="JX24" s="348" t="s">
        <v>2167</v>
      </c>
      <c r="JY24" s="2">
        <f>SUM(KA13:KA21)</f>
        <v>0</v>
      </c>
      <c r="JZ24" s="337" t="s">
        <v>2875</v>
      </c>
      <c r="KA24" s="61"/>
      <c r="KB24" s="805" t="s">
        <v>2855</v>
      </c>
      <c r="KC24" s="61">
        <v>453.6</v>
      </c>
      <c r="KD24" s="799" t="s">
        <v>2889</v>
      </c>
    </row>
    <row r="25" spans="1:290" x14ac:dyDescent="0.2">
      <c r="A25" s="867" t="s">
        <v>990</v>
      </c>
      <c r="B25" s="867"/>
      <c r="E25" s="164" t="s">
        <v>139</v>
      </c>
      <c r="F25" s="166"/>
      <c r="G25" s="867" t="s">
        <v>990</v>
      </c>
      <c r="H25" s="867"/>
      <c r="K25" s="244" t="s">
        <v>1027</v>
      </c>
      <c r="L25" s="205">
        <v>0</v>
      </c>
      <c r="M25" s="846"/>
      <c r="N25" s="846"/>
      <c r="Q25" s="244" t="s">
        <v>1029</v>
      </c>
      <c r="R25" s="142">
        <v>0</v>
      </c>
      <c r="S25" s="846"/>
      <c r="T25" s="846"/>
      <c r="W25" s="244" t="s">
        <v>1050</v>
      </c>
      <c r="X25" s="142">
        <v>910.17</v>
      </c>
      <c r="Y25" s="846"/>
      <c r="Z25" s="846"/>
      <c r="AC25" s="248" t="s">
        <v>1083</v>
      </c>
      <c r="AD25" s="142">
        <v>90</v>
      </c>
      <c r="AE25" s="867" t="s">
        <v>990</v>
      </c>
      <c r="AF25" s="867"/>
      <c r="AI25" s="245" t="s">
        <v>1101</v>
      </c>
      <c r="AJ25" s="142">
        <v>30</v>
      </c>
      <c r="AK25" s="867" t="s">
        <v>990</v>
      </c>
      <c r="AL25" s="867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67"/>
      <c r="BH25" s="867"/>
      <c r="BK25" s="266" t="s">
        <v>1222</v>
      </c>
      <c r="BL25" s="205">
        <v>48.54</v>
      </c>
      <c r="BM25" s="867"/>
      <c r="BN25" s="867"/>
      <c r="BQ25" s="266" t="s">
        <v>1051</v>
      </c>
      <c r="BR25" s="205">
        <v>50.15</v>
      </c>
      <c r="BS25" s="867" t="s">
        <v>1245</v>
      </c>
      <c r="BT25" s="867"/>
      <c r="BW25" s="266" t="s">
        <v>1051</v>
      </c>
      <c r="BX25" s="205">
        <v>48.54</v>
      </c>
      <c r="BY25" s="867"/>
      <c r="BZ25" s="867"/>
      <c r="CC25" s="266" t="s">
        <v>1051</v>
      </c>
      <c r="CD25" s="205">
        <v>142.91</v>
      </c>
      <c r="CE25" s="867"/>
      <c r="CF25" s="867"/>
      <c r="CI25" s="266" t="s">
        <v>1312</v>
      </c>
      <c r="CJ25" s="205">
        <v>35.049999999999997</v>
      </c>
      <c r="CK25" s="846"/>
      <c r="CL25" s="846"/>
      <c r="CO25" s="266" t="s">
        <v>1286</v>
      </c>
      <c r="CP25" s="205">
        <v>153.41</v>
      </c>
      <c r="CQ25" s="846" t="s">
        <v>1327</v>
      </c>
      <c r="CR25" s="846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66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185427.9133333333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823" t="s">
        <v>2171</v>
      </c>
      <c r="IC25" s="823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2530</v>
      </c>
      <c r="IT25" s="362" t="s">
        <v>1392</v>
      </c>
      <c r="IU25" s="2">
        <f>SUM(IW10:IW12)</f>
        <v>2514.06</v>
      </c>
      <c r="IV25" s="337" t="s">
        <v>2615</v>
      </c>
      <c r="IW25" s="61">
        <v>54.7</v>
      </c>
      <c r="IX25" s="616"/>
      <c r="IY25" s="584"/>
      <c r="IZ25" s="401"/>
      <c r="JA25" s="510"/>
      <c r="JB25" s="345" t="s">
        <v>2366</v>
      </c>
      <c r="JC25" s="61">
        <f>17.98+13.67+17.8+15.37+10+15+12.85</f>
        <v>102.67</v>
      </c>
      <c r="JD25" s="620"/>
      <c r="JF25" s="402"/>
      <c r="JH25" s="337" t="s">
        <v>2766</v>
      </c>
      <c r="JI25" s="61">
        <v>20</v>
      </c>
      <c r="JJ25" s="667" t="s">
        <v>2472</v>
      </c>
      <c r="JL25" s="726" t="s">
        <v>2788</v>
      </c>
      <c r="JM25" s="726"/>
      <c r="JN25" s="337" t="s">
        <v>2795</v>
      </c>
      <c r="JO25" s="61">
        <v>16.100000000000001</v>
      </c>
      <c r="JP25" s="730" t="s">
        <v>2796</v>
      </c>
      <c r="JQ25" s="2">
        <v>15</v>
      </c>
      <c r="JR25" s="925" t="s">
        <v>1959</v>
      </c>
      <c r="JS25" s="273">
        <f>SUM(JU6:JU7)</f>
        <v>3900.06</v>
      </c>
      <c r="JT25" s="337" t="s">
        <v>2875</v>
      </c>
      <c r="JU25" s="61">
        <v>68.900000000000006</v>
      </c>
      <c r="JV25" s="764" t="s">
        <v>2423</v>
      </c>
      <c r="JW25" s="61"/>
      <c r="JX25" s="337" t="s">
        <v>2165</v>
      </c>
      <c r="JY25" s="2">
        <f>SUM(KA22:KA26)</f>
        <v>0</v>
      </c>
      <c r="JZ25" s="337" t="s">
        <v>2876</v>
      </c>
      <c r="KA25" s="61"/>
      <c r="KB25" s="805" t="s">
        <v>2423</v>
      </c>
      <c r="KC25" s="61"/>
    </row>
    <row r="26" spans="1:290" x14ac:dyDescent="0.2">
      <c r="A26" s="846"/>
      <c r="B26" s="846"/>
      <c r="E26" s="198" t="s">
        <v>362</v>
      </c>
      <c r="F26" s="170"/>
      <c r="G26" s="846"/>
      <c r="H26" s="846"/>
      <c r="K26" s="244" t="s">
        <v>1018</v>
      </c>
      <c r="L26" s="142">
        <f>910+40</f>
        <v>950</v>
      </c>
      <c r="M26" s="846"/>
      <c r="N26" s="846"/>
      <c r="Q26" s="244" t="s">
        <v>1026</v>
      </c>
      <c r="R26" s="142">
        <v>0</v>
      </c>
      <c r="S26" s="846"/>
      <c r="T26" s="846"/>
      <c r="W26" s="143" t="s">
        <v>1085</v>
      </c>
      <c r="X26" s="142">
        <v>110.58</v>
      </c>
      <c r="Y26" s="846"/>
      <c r="Z26" s="846"/>
      <c r="AE26" s="846"/>
      <c r="AF26" s="846"/>
      <c r="AK26" s="846"/>
      <c r="AL26" s="846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46"/>
      <c r="AX26" s="846"/>
      <c r="AY26" s="143"/>
      <c r="AZ26" s="205"/>
      <c r="BA26" s="846"/>
      <c r="BB26" s="846"/>
      <c r="BE26" s="143" t="s">
        <v>1195</v>
      </c>
      <c r="BF26" s="205">
        <f>6.5*2</f>
        <v>13</v>
      </c>
      <c r="BG26" s="846"/>
      <c r="BH26" s="846"/>
      <c r="BK26" s="266" t="s">
        <v>1195</v>
      </c>
      <c r="BL26" s="205">
        <f>6.5*2</f>
        <v>13</v>
      </c>
      <c r="BM26" s="846"/>
      <c r="BN26" s="846"/>
      <c r="BQ26" s="266" t="s">
        <v>1195</v>
      </c>
      <c r="BR26" s="205">
        <v>13</v>
      </c>
      <c r="BS26" s="846"/>
      <c r="BT26" s="846"/>
      <c r="BW26" s="266" t="s">
        <v>1195</v>
      </c>
      <c r="BX26" s="205">
        <v>13</v>
      </c>
      <c r="BY26" s="846"/>
      <c r="BZ26" s="846"/>
      <c r="CC26" s="266" t="s">
        <v>1195</v>
      </c>
      <c r="CD26" s="205">
        <v>13</v>
      </c>
      <c r="CE26" s="846"/>
      <c r="CF26" s="846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82" t="s">
        <v>1536</v>
      </c>
      <c r="DZ26" s="883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65" t="s">
        <v>1536</v>
      </c>
      <c r="ES26" s="865"/>
      <c r="ET26" s="1" t="s">
        <v>1703</v>
      </c>
      <c r="EU26" s="272">
        <v>20000</v>
      </c>
      <c r="EW26" s="866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2" t="s">
        <v>2478</v>
      </c>
      <c r="IW26" s="78">
        <f>2+59+11+23</f>
        <v>95</v>
      </c>
      <c r="IX26" s="504"/>
      <c r="IZ26" s="401"/>
      <c r="JA26" s="510"/>
      <c r="JB26" s="337" t="s">
        <v>2701</v>
      </c>
      <c r="JC26" s="61">
        <v>10</v>
      </c>
      <c r="JD26" s="648"/>
      <c r="JH26" s="337" t="s">
        <v>2743</v>
      </c>
      <c r="JI26" s="61">
        <v>30</v>
      </c>
      <c r="JJ26" s="667" t="s">
        <v>2423</v>
      </c>
      <c r="JL26" s="192" t="s">
        <v>1959</v>
      </c>
      <c r="JM26" s="273">
        <f>SUM(JO6:JO7)</f>
        <v>2900.12</v>
      </c>
      <c r="JN26" s="337" t="s">
        <v>2811</v>
      </c>
      <c r="JO26" s="533">
        <v>42.9</v>
      </c>
      <c r="JP26" s="719" t="s">
        <v>2423</v>
      </c>
      <c r="JQ26" s="2"/>
      <c r="JR26" s="388" t="s">
        <v>2873</v>
      </c>
      <c r="JS26" s="273">
        <f>SUM(JU11:JU13)</f>
        <v>5390.235999999999</v>
      </c>
      <c r="JT26" s="337" t="s">
        <v>2876</v>
      </c>
      <c r="JU26" s="61">
        <v>41.5</v>
      </c>
      <c r="JV26" s="772"/>
      <c r="JW26" s="61"/>
      <c r="JX26" s="337" t="s">
        <v>2825</v>
      </c>
      <c r="JY26" s="2">
        <f>SUM(KA23:KA26)</f>
        <v>0</v>
      </c>
      <c r="JZ26" s="337" t="s">
        <v>2877</v>
      </c>
      <c r="KA26" s="533"/>
      <c r="KB26" s="805"/>
      <c r="KC26" s="61"/>
    </row>
    <row r="27" spans="1:290" x14ac:dyDescent="0.2">
      <c r="A27" s="846"/>
      <c r="B27" s="846"/>
      <c r="F27" s="194"/>
      <c r="G27" s="846"/>
      <c r="H27" s="846"/>
      <c r="K27"/>
      <c r="M27" s="872" t="s">
        <v>506</v>
      </c>
      <c r="N27" s="872"/>
      <c r="Q27" s="244" t="s">
        <v>1019</v>
      </c>
      <c r="R27" s="142">
        <v>0</v>
      </c>
      <c r="S27" s="872" t="s">
        <v>506</v>
      </c>
      <c r="T27" s="872"/>
      <c r="W27" s="143" t="s">
        <v>1051</v>
      </c>
      <c r="X27" s="142">
        <v>60.75</v>
      </c>
      <c r="Y27" s="846"/>
      <c r="Z27" s="846"/>
      <c r="AC27" s="219" t="s">
        <v>1092</v>
      </c>
      <c r="AD27" s="219"/>
      <c r="AE27" s="872" t="s">
        <v>506</v>
      </c>
      <c r="AF27" s="872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65" t="s">
        <v>1536</v>
      </c>
      <c r="EY27" s="865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823" t="s">
        <v>2171</v>
      </c>
      <c r="HQ27" s="823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04"/>
      <c r="IY27" s="585"/>
      <c r="IZ27" s="402"/>
      <c r="JB27" s="337" t="s">
        <v>2707</v>
      </c>
      <c r="JC27" s="61">
        <v>7</v>
      </c>
      <c r="JD27" s="656"/>
      <c r="JE27" s="655"/>
      <c r="JF27" s="674" t="s">
        <v>2717</v>
      </c>
      <c r="JG27" s="674"/>
      <c r="JH27" s="337" t="s">
        <v>2769</v>
      </c>
      <c r="JI27" s="61">
        <f>55.72+65.82</f>
        <v>121.53999999999999</v>
      </c>
      <c r="JJ27" s="684" t="s">
        <v>2748</v>
      </c>
      <c r="JK27" s="683">
        <v>59.4</v>
      </c>
      <c r="JL27" s="388" t="s">
        <v>2874</v>
      </c>
      <c r="JM27" s="273">
        <f>SUM(JO11:JO13)</f>
        <v>116477.65199999999</v>
      </c>
      <c r="JN27" s="337" t="s">
        <v>2831</v>
      </c>
      <c r="JO27" s="533">
        <v>131</v>
      </c>
      <c r="JP27" s="755"/>
      <c r="JQ27" s="2"/>
      <c r="JR27" s="350" t="s">
        <v>1392</v>
      </c>
      <c r="JS27" s="2">
        <f>SUM(JU8:JU8)</f>
        <v>1476</v>
      </c>
      <c r="JT27" s="337" t="s">
        <v>2894</v>
      </c>
      <c r="JU27" s="533">
        <v>11</v>
      </c>
      <c r="JV27" s="795"/>
      <c r="JW27" s="61"/>
      <c r="JZ27" s="799" t="s">
        <v>2718</v>
      </c>
      <c r="KA27" s="78"/>
      <c r="KB27" s="805"/>
      <c r="KC27" s="61"/>
    </row>
    <row r="28" spans="1:290" x14ac:dyDescent="0.2">
      <c r="A28" s="846"/>
      <c r="B28" s="846"/>
      <c r="E28" s="193" t="s">
        <v>360</v>
      </c>
      <c r="F28" s="194"/>
      <c r="G28" s="846"/>
      <c r="H28" s="846"/>
      <c r="K28" s="143" t="s">
        <v>1017</v>
      </c>
      <c r="L28" s="142">
        <f>60</f>
        <v>60</v>
      </c>
      <c r="M28" s="872" t="s">
        <v>992</v>
      </c>
      <c r="N28" s="872"/>
      <c r="Q28" s="244" t="s">
        <v>1073</v>
      </c>
      <c r="R28" s="205">
        <v>200</v>
      </c>
      <c r="S28" s="872" t="s">
        <v>992</v>
      </c>
      <c r="T28" s="872"/>
      <c r="W28" s="143" t="s">
        <v>1016</v>
      </c>
      <c r="X28" s="142">
        <v>61.35</v>
      </c>
      <c r="Y28" s="872" t="s">
        <v>506</v>
      </c>
      <c r="Z28" s="872"/>
      <c r="AC28" s="219" t="s">
        <v>1088</v>
      </c>
      <c r="AD28" s="219">
        <f>53+207+63</f>
        <v>323</v>
      </c>
      <c r="AE28" s="872" t="s">
        <v>992</v>
      </c>
      <c r="AF28" s="872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65" t="s">
        <v>1747</v>
      </c>
      <c r="FE28" s="865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2593</v>
      </c>
      <c r="HW28">
        <f>SUM(HY47:HY54)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577"/>
      <c r="IZ28" s="823" t="s">
        <v>2171</v>
      </c>
      <c r="JA28" s="823"/>
      <c r="JB28" s="337" t="s">
        <v>2631</v>
      </c>
      <c r="JC28" s="61">
        <v>34</v>
      </c>
      <c r="JF28" s="192" t="s">
        <v>1959</v>
      </c>
      <c r="JG28" s="273">
        <f>SUM(JI6:JI7)</f>
        <v>3900.1</v>
      </c>
      <c r="JH28" s="337" t="s">
        <v>2770</v>
      </c>
      <c r="JI28" s="61">
        <f>44.8+43.4</f>
        <v>88.199999999999989</v>
      </c>
      <c r="JJ28" s="702" t="s">
        <v>2749</v>
      </c>
      <c r="JK28" s="665">
        <v>75.599999999999994</v>
      </c>
      <c r="JL28" s="350" t="s">
        <v>1392</v>
      </c>
      <c r="JM28" s="2">
        <f>SUM(JO8:JO9)</f>
        <v>175.82999999999998</v>
      </c>
      <c r="JN28" s="714" t="s">
        <v>2718</v>
      </c>
      <c r="JO28" s="78">
        <v>20</v>
      </c>
      <c r="JP28" s="755"/>
      <c r="JQ28" s="2"/>
      <c r="JR28" s="346" t="s">
        <v>2166</v>
      </c>
      <c r="JS28" s="2">
        <f>SUM(JU9:JU10)</f>
        <v>15.379999999999999</v>
      </c>
      <c r="JT28" s="760" t="s">
        <v>2718</v>
      </c>
      <c r="JU28" s="78">
        <f>13</f>
        <v>13</v>
      </c>
      <c r="JV28" s="795"/>
      <c r="JW28" s="61"/>
      <c r="JZ28" s="9" t="s">
        <v>2197</v>
      </c>
      <c r="KA28" s="534"/>
      <c r="KB28" s="805"/>
      <c r="KC28" s="61"/>
    </row>
    <row r="29" spans="1:290" x14ac:dyDescent="0.2">
      <c r="A29" s="872" t="s">
        <v>506</v>
      </c>
      <c r="B29" s="872"/>
      <c r="E29" s="193" t="s">
        <v>282</v>
      </c>
      <c r="F29" s="194"/>
      <c r="G29" s="872" t="s">
        <v>506</v>
      </c>
      <c r="H29" s="872"/>
      <c r="K29" s="143" t="s">
        <v>1016</v>
      </c>
      <c r="L29" s="142">
        <v>0</v>
      </c>
      <c r="M29" s="871" t="s">
        <v>93</v>
      </c>
      <c r="N29" s="871"/>
      <c r="Q29" s="244" t="s">
        <v>1050</v>
      </c>
      <c r="R29" s="142">
        <v>0</v>
      </c>
      <c r="S29" s="871" t="s">
        <v>93</v>
      </c>
      <c r="T29" s="871"/>
      <c r="W29" s="143" t="s">
        <v>1015</v>
      </c>
      <c r="X29" s="142">
        <v>64</v>
      </c>
      <c r="Y29" s="872" t="s">
        <v>992</v>
      </c>
      <c r="Z29" s="872"/>
      <c r="AC29" s="219" t="s">
        <v>1089</v>
      </c>
      <c r="AD29" s="219">
        <f>63+46</f>
        <v>109</v>
      </c>
      <c r="AE29" s="871" t="s">
        <v>93</v>
      </c>
      <c r="AF29" s="871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65" t="s">
        <v>1536</v>
      </c>
      <c r="EM29" s="865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2825</v>
      </c>
      <c r="IU29" s="572">
        <f>SUM(IW22:IW25)</f>
        <v>188.39</v>
      </c>
      <c r="IV29" s="386" t="s">
        <v>1411</v>
      </c>
      <c r="IW29" s="408">
        <f>IS19+IU30-IY20</f>
        <v>70</v>
      </c>
      <c r="IX29" s="572" t="s">
        <v>506</v>
      </c>
      <c r="IZ29" s="192" t="s">
        <v>1959</v>
      </c>
      <c r="JA29" s="273">
        <f>SUM(JC7:JC7)</f>
        <v>1900.03</v>
      </c>
      <c r="JB29" s="337" t="s">
        <v>2665</v>
      </c>
      <c r="JC29" s="61">
        <v>64.75</v>
      </c>
      <c r="JD29" s="618" t="s">
        <v>506</v>
      </c>
      <c r="JF29" s="388" t="s">
        <v>1960</v>
      </c>
      <c r="JG29" s="273">
        <f>SUM(JI12:JI15)</f>
        <v>156875.80412602739</v>
      </c>
      <c r="JH29" s="337" t="s">
        <v>2738</v>
      </c>
      <c r="JI29" s="533">
        <v>40.9</v>
      </c>
      <c r="JJ29" s="682"/>
      <c r="JL29" s="346" t="s">
        <v>2166</v>
      </c>
      <c r="JM29" s="2">
        <f>SUM(JO10:JO10)</f>
        <v>669.59999999999991</v>
      </c>
      <c r="JN29" s="9" t="s">
        <v>2197</v>
      </c>
      <c r="JO29" s="534">
        <f>250+254+164+105</f>
        <v>773</v>
      </c>
      <c r="JQ29" s="2"/>
      <c r="JR29" s="348" t="s">
        <v>2167</v>
      </c>
      <c r="JS29" s="2">
        <f>SUM(JU14:JU22)</f>
        <v>1271.7839999999999</v>
      </c>
      <c r="JT29" s="9" t="s">
        <v>2197</v>
      </c>
      <c r="JU29" s="534">
        <f>144+160+67</f>
        <v>371</v>
      </c>
      <c r="JV29" s="760" t="s">
        <v>506</v>
      </c>
      <c r="JZ29" s="412">
        <v>24.07</v>
      </c>
      <c r="KA29" s="534"/>
      <c r="KB29" s="799" t="s">
        <v>506</v>
      </c>
    </row>
    <row r="30" spans="1:290" x14ac:dyDescent="0.2">
      <c r="A30" s="872" t="s">
        <v>992</v>
      </c>
      <c r="B30" s="872"/>
      <c r="E30" s="193" t="s">
        <v>372</v>
      </c>
      <c r="F30" s="194"/>
      <c r="G30" s="872" t="s">
        <v>992</v>
      </c>
      <c r="H30" s="872"/>
      <c r="K30" s="143" t="s">
        <v>1015</v>
      </c>
      <c r="L30" s="142">
        <v>64</v>
      </c>
      <c r="M30" s="846" t="s">
        <v>385</v>
      </c>
      <c r="N30" s="846"/>
      <c r="Q30"/>
      <c r="S30" s="846" t="s">
        <v>385</v>
      </c>
      <c r="T30" s="846"/>
      <c r="W30" s="143" t="s">
        <v>1014</v>
      </c>
      <c r="X30" s="142">
        <v>100.01</v>
      </c>
      <c r="Y30" s="871" t="s">
        <v>93</v>
      </c>
      <c r="Z30" s="871"/>
      <c r="AC30" s="142" t="s">
        <v>1087</v>
      </c>
      <c r="AD30" s="142">
        <v>65</v>
      </c>
      <c r="AE30" s="846" t="s">
        <v>385</v>
      </c>
      <c r="AF30" s="846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65" t="s">
        <v>1747</v>
      </c>
      <c r="FK30" s="865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2765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2765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2549</v>
      </c>
      <c r="IQ30" s="61" t="s">
        <v>2550</v>
      </c>
      <c r="IR30" s="542"/>
      <c r="IS30" s="527"/>
      <c r="IT30" s="573" t="s">
        <v>2551</v>
      </c>
      <c r="IU30" s="353">
        <v>90</v>
      </c>
      <c r="IV30" s="409">
        <v>5</v>
      </c>
      <c r="IW30" s="543" t="s">
        <v>2548</v>
      </c>
      <c r="IX30" s="9" t="s">
        <v>1866</v>
      </c>
      <c r="IZ30" s="245" t="s">
        <v>1960</v>
      </c>
      <c r="JA30" s="273">
        <f>SUM(JC14:JC16)</f>
        <v>4142.9809999999998</v>
      </c>
      <c r="JB30" s="659" t="s">
        <v>2682</v>
      </c>
      <c r="JC30" s="533">
        <f>3.3+7.001</f>
        <v>10.301</v>
      </c>
      <c r="JD30" s="618" t="s">
        <v>93</v>
      </c>
      <c r="JF30" s="350" t="s">
        <v>1392</v>
      </c>
      <c r="JG30" s="2">
        <f>SUM(JI8:JI8)</f>
        <v>327.74</v>
      </c>
      <c r="JH30" s="337" t="s">
        <v>2742</v>
      </c>
      <c r="JI30" s="533">
        <f>8.65*2</f>
        <v>17.3</v>
      </c>
      <c r="JJ30" s="706"/>
      <c r="JL30" s="348" t="s">
        <v>2167</v>
      </c>
      <c r="JM30" s="268">
        <f>SUM(JO14:JO21)</f>
        <v>1710.4379999999999</v>
      </c>
      <c r="JN30" s="412">
        <v>20.350000000000001</v>
      </c>
      <c r="JO30" s="534"/>
      <c r="JQ30" s="2"/>
      <c r="JR30" s="337" t="s">
        <v>2165</v>
      </c>
      <c r="JS30" s="2">
        <f>SUM(JU23:JU27)</f>
        <v>179.60000000000002</v>
      </c>
      <c r="JT30" s="412">
        <v>24.07</v>
      </c>
      <c r="JU30" s="534"/>
      <c r="JV30" s="760" t="s">
        <v>93</v>
      </c>
      <c r="JZ30" s="386" t="s">
        <v>1411</v>
      </c>
      <c r="KA30" s="408">
        <f>JW19+JY32-KC19</f>
        <v>0</v>
      </c>
      <c r="KB30" s="799" t="s">
        <v>93</v>
      </c>
    </row>
    <row r="31" spans="1:290" ht="12.75" customHeight="1" x14ac:dyDescent="0.2">
      <c r="A31" s="871" t="s">
        <v>93</v>
      </c>
      <c r="B31" s="871"/>
      <c r="E31" s="193" t="s">
        <v>1007</v>
      </c>
      <c r="F31" s="170"/>
      <c r="G31" s="871" t="s">
        <v>93</v>
      </c>
      <c r="H31" s="871"/>
      <c r="K31" s="143" t="s">
        <v>1014</v>
      </c>
      <c r="L31" s="142">
        <v>50.01</v>
      </c>
      <c r="M31" s="870" t="s">
        <v>1001</v>
      </c>
      <c r="N31" s="870"/>
      <c r="Q31" s="143" t="s">
        <v>1052</v>
      </c>
      <c r="R31" s="142">
        <v>26</v>
      </c>
      <c r="S31" s="870" t="s">
        <v>1001</v>
      </c>
      <c r="T31" s="870"/>
      <c r="W31"/>
      <c r="Y31" s="846" t="s">
        <v>385</v>
      </c>
      <c r="Z31" s="846"/>
      <c r="AC31" s="142" t="s">
        <v>1090</v>
      </c>
      <c r="AD31" s="142">
        <v>10</v>
      </c>
      <c r="AE31" s="870" t="s">
        <v>1001</v>
      </c>
      <c r="AF31" s="870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2516</v>
      </c>
      <c r="IQ31" s="61">
        <v>42.17</v>
      </c>
      <c r="IR31" s="544"/>
      <c r="IV31" s="409">
        <v>50</v>
      </c>
      <c r="IW31" s="543" t="s">
        <v>1828</v>
      </c>
      <c r="IX31" s="572" t="s">
        <v>93</v>
      </c>
      <c r="IZ31" s="350" t="s">
        <v>1392</v>
      </c>
      <c r="JA31" s="2">
        <f>SUM(JC8:JC10)</f>
        <v>1354.32</v>
      </c>
      <c r="JB31" s="659" t="s">
        <v>2683</v>
      </c>
      <c r="JC31" s="533">
        <v>74.959999999999994</v>
      </c>
      <c r="JD31" s="618" t="s">
        <v>1034</v>
      </c>
      <c r="JF31" s="346" t="s">
        <v>2166</v>
      </c>
      <c r="JG31" s="363">
        <f>SUM(JI9:JI11)</f>
        <v>2683.17</v>
      </c>
      <c r="JH31" s="337" t="s">
        <v>2753</v>
      </c>
      <c r="JI31" s="533">
        <f>6.2+29.5</f>
        <v>35.700000000000003</v>
      </c>
      <c r="JL31" s="337" t="s">
        <v>2165</v>
      </c>
      <c r="JM31" s="363">
        <f>SUM(JO22:JO27)</f>
        <v>3204.23</v>
      </c>
      <c r="JN31" s="386" t="s">
        <v>1411</v>
      </c>
      <c r="JO31" s="408">
        <f>JK22+JM34-JQ19</f>
        <v>770</v>
      </c>
      <c r="JQ31" s="2"/>
      <c r="JR31" s="337" t="s">
        <v>2825</v>
      </c>
      <c r="JS31" s="2">
        <f>SUM(JU24:JU27)</f>
        <v>169.60000000000002</v>
      </c>
      <c r="JT31" s="386" t="s">
        <v>1411</v>
      </c>
      <c r="JU31" s="408">
        <f>JQ19+JS35-JW19</f>
        <v>70</v>
      </c>
      <c r="JV31" s="760" t="s">
        <v>1034</v>
      </c>
      <c r="JZ31" s="409"/>
      <c r="KA31" s="543"/>
      <c r="KB31" s="799" t="s">
        <v>1034</v>
      </c>
    </row>
    <row r="32" spans="1:290" x14ac:dyDescent="0.2">
      <c r="A32" s="846" t="s">
        <v>385</v>
      </c>
      <c r="B32" s="846"/>
      <c r="E32" s="170"/>
      <c r="F32" s="170"/>
      <c r="G32" s="846" t="s">
        <v>385</v>
      </c>
      <c r="H32" s="846"/>
      <c r="K32"/>
      <c r="M32" s="867" t="s">
        <v>243</v>
      </c>
      <c r="N32" s="867"/>
      <c r="Q32" s="143" t="s">
        <v>1051</v>
      </c>
      <c r="R32" s="142">
        <v>55</v>
      </c>
      <c r="S32" s="867" t="s">
        <v>243</v>
      </c>
      <c r="T32" s="867"/>
      <c r="W32" s="243" t="s">
        <v>1072</v>
      </c>
      <c r="X32" s="243">
        <v>0</v>
      </c>
      <c r="Y32" s="870" t="s">
        <v>1001</v>
      </c>
      <c r="Z32" s="870"/>
      <c r="AE32" s="867" t="s">
        <v>243</v>
      </c>
      <c r="AF32" s="867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75" t="s">
        <v>1438</v>
      </c>
      <c r="DP32" s="875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2765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823" t="s">
        <v>2171</v>
      </c>
      <c r="IO32" s="823"/>
      <c r="IP32" s="337" t="s">
        <v>2543</v>
      </c>
      <c r="IQ32" s="61">
        <v>6.5</v>
      </c>
      <c r="IR32" t="s">
        <v>506</v>
      </c>
      <c r="IV32" s="409">
        <v>10</v>
      </c>
      <c r="IW32" s="543" t="s">
        <v>2619</v>
      </c>
      <c r="IX32" s="572" t="s">
        <v>2381</v>
      </c>
      <c r="IZ32" s="346" t="s">
        <v>2166</v>
      </c>
      <c r="JA32" s="2">
        <f>SUM(JC11:JC13)</f>
        <v>762.4899999999999</v>
      </c>
      <c r="JB32" s="659" t="s">
        <v>2706</v>
      </c>
      <c r="JC32" s="533">
        <v>74.13</v>
      </c>
      <c r="JF32" s="348" t="s">
        <v>2167</v>
      </c>
      <c r="JG32" s="2">
        <f>SUM(JI16:JI24)</f>
        <v>412.16</v>
      </c>
      <c r="JH32" s="665" t="s">
        <v>2718</v>
      </c>
      <c r="JI32" s="78">
        <v>78</v>
      </c>
      <c r="JJ32" s="665" t="s">
        <v>506</v>
      </c>
      <c r="JL32" s="337" t="s">
        <v>2825</v>
      </c>
      <c r="JM32" s="2">
        <f>SUM(JO23:JO27)</f>
        <v>251.23</v>
      </c>
      <c r="JN32" s="409">
        <v>60</v>
      </c>
      <c r="JO32" s="543" t="s">
        <v>1828</v>
      </c>
      <c r="JQ32" s="2"/>
      <c r="JT32" s="409">
        <v>30</v>
      </c>
      <c r="JU32" s="543" t="s">
        <v>2846</v>
      </c>
      <c r="JX32" s="341" t="s">
        <v>2896</v>
      </c>
      <c r="JY32" s="353">
        <v>0</v>
      </c>
      <c r="JZ32" s="409"/>
      <c r="KA32" s="543"/>
    </row>
    <row r="33" spans="1:290" x14ac:dyDescent="0.2">
      <c r="A33" s="870" t="s">
        <v>1001</v>
      </c>
      <c r="B33" s="870"/>
      <c r="C33" s="3"/>
      <c r="D33" s="3"/>
      <c r="E33" s="246"/>
      <c r="F33" s="246"/>
      <c r="G33" s="870" t="s">
        <v>1001</v>
      </c>
      <c r="H33" s="870"/>
      <c r="K33" s="243" t="s">
        <v>1021</v>
      </c>
      <c r="L33" s="243"/>
      <c r="M33" s="873" t="s">
        <v>1034</v>
      </c>
      <c r="N33" s="873"/>
      <c r="Q33" s="143" t="s">
        <v>1016</v>
      </c>
      <c r="R33" s="142">
        <v>77.239999999999995</v>
      </c>
      <c r="S33" s="873" t="s">
        <v>1034</v>
      </c>
      <c r="T33" s="873"/>
      <c r="Y33" s="867" t="s">
        <v>243</v>
      </c>
      <c r="Z33" s="867"/>
      <c r="AC33" s="197" t="s">
        <v>1012</v>
      </c>
      <c r="AD33" s="142">
        <v>350</v>
      </c>
      <c r="AE33" s="873" t="s">
        <v>1034</v>
      </c>
      <c r="AF33" s="873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78" t="s">
        <v>1411</v>
      </c>
      <c r="DB33" s="879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2593</v>
      </c>
      <c r="IC33" s="603">
        <f>SUM(IE54:IE58)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73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1" t="s">
        <v>2601</v>
      </c>
      <c r="IW33" s="532">
        <v>70</v>
      </c>
      <c r="IX33" s="572" t="s">
        <v>1674</v>
      </c>
      <c r="IZ33" s="348" t="s">
        <v>2167</v>
      </c>
      <c r="JA33" s="2">
        <f>SUM(JC17:JC25)</f>
        <v>1699.2099999999998</v>
      </c>
      <c r="JB33" s="659" t="s">
        <v>2709</v>
      </c>
      <c r="JC33" s="533">
        <v>24.71</v>
      </c>
      <c r="JF33" s="337" t="s">
        <v>2165</v>
      </c>
      <c r="JG33" s="2">
        <f>SUM(JI25:JI31)</f>
        <v>353.64</v>
      </c>
      <c r="JH33" s="9" t="s">
        <v>2197</v>
      </c>
      <c r="JI33" s="534">
        <f>158+69+34+259</f>
        <v>520</v>
      </c>
      <c r="JJ33" s="665" t="s">
        <v>93</v>
      </c>
      <c r="JN33" s="409">
        <v>40</v>
      </c>
      <c r="JO33" s="543" t="s">
        <v>2791</v>
      </c>
      <c r="JT33" s="409">
        <v>10</v>
      </c>
      <c r="JU33" s="543" t="s">
        <v>1828</v>
      </c>
      <c r="JY33" s="494"/>
      <c r="JZ33" s="409"/>
      <c r="KA33" s="543"/>
    </row>
    <row r="34" spans="1:290" x14ac:dyDescent="0.2">
      <c r="A34" s="867" t="s">
        <v>243</v>
      </c>
      <c r="B34" s="867"/>
      <c r="E34" s="170"/>
      <c r="F34" s="170"/>
      <c r="G34" s="867" t="s">
        <v>243</v>
      </c>
      <c r="H34" s="867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73" t="s">
        <v>1034</v>
      </c>
      <c r="Z34" s="873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73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2582</v>
      </c>
      <c r="IW34" s="572">
        <v>8.67</v>
      </c>
      <c r="IZ34" s="337" t="s">
        <v>2165</v>
      </c>
      <c r="JA34" s="2">
        <f>SUM(JC26:JC34)</f>
        <v>354.85099999999994</v>
      </c>
      <c r="JB34" s="337" t="s">
        <v>2704</v>
      </c>
      <c r="JC34" s="61">
        <v>55</v>
      </c>
      <c r="JF34" s="337" t="s">
        <v>2825</v>
      </c>
      <c r="JG34" s="2">
        <f>SUM(JI27:JI31)</f>
        <v>303.64</v>
      </c>
      <c r="JH34" s="412">
        <v>23.04</v>
      </c>
      <c r="JI34" s="534"/>
      <c r="JJ34" s="665" t="s">
        <v>1034</v>
      </c>
      <c r="JL34" s="717" t="s">
        <v>2824</v>
      </c>
      <c r="JM34" s="353">
        <f>50+400+200+100</f>
        <v>750</v>
      </c>
      <c r="JN34" s="409">
        <v>50</v>
      </c>
      <c r="JO34" s="543" t="s">
        <v>2782</v>
      </c>
      <c r="JP34" s="714" t="s">
        <v>506</v>
      </c>
      <c r="JT34" s="409">
        <v>10</v>
      </c>
      <c r="JU34" s="543" t="s">
        <v>2848</v>
      </c>
      <c r="JZ34" s="409"/>
      <c r="KA34" s="543"/>
      <c r="KB34" s="799" t="s">
        <v>2767</v>
      </c>
    </row>
    <row r="35" spans="1:290" ht="14.25" customHeight="1" x14ac:dyDescent="0.25">
      <c r="A35" s="874" t="s">
        <v>342</v>
      </c>
      <c r="B35" s="874"/>
      <c r="E35" s="187" t="s">
        <v>368</v>
      </c>
      <c r="F35" s="170"/>
      <c r="G35" s="874" t="s">
        <v>342</v>
      </c>
      <c r="H35" s="874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2765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2582</v>
      </c>
      <c r="IW35" s="533">
        <v>23.08</v>
      </c>
      <c r="IZ35" s="337" t="s">
        <v>2825</v>
      </c>
      <c r="JA35" s="2">
        <f>SUM(JC28:JC34)</f>
        <v>337.85099999999994</v>
      </c>
      <c r="JB35" s="618" t="s">
        <v>2719</v>
      </c>
      <c r="JC35" s="78">
        <v>16.87</v>
      </c>
      <c r="JH35" s="386" t="s">
        <v>1411</v>
      </c>
      <c r="JI35" s="408">
        <f>JE21+JG37-JK22</f>
        <v>100</v>
      </c>
      <c r="JN35" s="409">
        <v>9</v>
      </c>
      <c r="JO35" s="543" t="s">
        <v>2781</v>
      </c>
      <c r="JP35" s="714" t="s">
        <v>93</v>
      </c>
      <c r="JR35" s="341" t="s">
        <v>2880</v>
      </c>
      <c r="JS35" s="353">
        <v>100</v>
      </c>
      <c r="JT35" s="409">
        <v>10</v>
      </c>
      <c r="JU35" s="543" t="s">
        <v>2861</v>
      </c>
    </row>
    <row r="36" spans="1:290" ht="14.25" customHeight="1" x14ac:dyDescent="0.25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2591</v>
      </c>
      <c r="IW36" s="533">
        <v>6.37</v>
      </c>
      <c r="JB36" s="9" t="s">
        <v>2197</v>
      </c>
      <c r="JC36" s="534">
        <f>204+76+114+103</f>
        <v>497</v>
      </c>
      <c r="JH36" s="409">
        <v>8</v>
      </c>
      <c r="JI36" s="543" t="s">
        <v>2716</v>
      </c>
      <c r="JN36" s="409">
        <v>10</v>
      </c>
      <c r="JO36" s="543" t="s">
        <v>2793</v>
      </c>
      <c r="JP36" s="714" t="s">
        <v>1034</v>
      </c>
      <c r="JT36" s="760" t="s">
        <v>2891</v>
      </c>
      <c r="JU36" s="533">
        <v>139</v>
      </c>
    </row>
    <row r="37" spans="1:290" ht="12.75" customHeight="1" thickBot="1" x14ac:dyDescent="0.3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80" t="s">
        <v>1536</v>
      </c>
      <c r="DT37" s="881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2">
        <f>SUM(IQ13:IQ20)</f>
        <v>1316.3133333333333</v>
      </c>
      <c r="IP37" s="409">
        <v>399</v>
      </c>
      <c r="IQ37" s="543" t="s">
        <v>2479</v>
      </c>
      <c r="IV37" s="504" t="s">
        <v>2600</v>
      </c>
      <c r="IW37" s="533">
        <v>104.35</v>
      </c>
      <c r="JB37" s="412">
        <v>23.85</v>
      </c>
      <c r="JC37" s="534"/>
      <c r="JF37" s="673" t="s">
        <v>2744</v>
      </c>
      <c r="JG37" s="353">
        <v>200</v>
      </c>
      <c r="JH37" s="409">
        <v>8</v>
      </c>
      <c r="JI37" s="543" t="s">
        <v>2722</v>
      </c>
      <c r="JN37" s="409">
        <v>192.7</v>
      </c>
      <c r="JO37" s="543" t="s">
        <v>2823</v>
      </c>
      <c r="JS37" s="494"/>
      <c r="JT37" s="923" t="s">
        <v>2907</v>
      </c>
      <c r="JU37" s="924">
        <v>5.35</v>
      </c>
    </row>
    <row r="38" spans="1:290" x14ac:dyDescent="0.2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 s="2">
        <f>SUM(IQ21:IQ32)</f>
        <v>464.31</v>
      </c>
      <c r="IP38" s="409">
        <v>35</v>
      </c>
      <c r="IQ38" s="543" t="s">
        <v>2469</v>
      </c>
      <c r="IV38" s="504" t="s">
        <v>2600</v>
      </c>
      <c r="IW38" s="533">
        <v>51.81</v>
      </c>
      <c r="IZ38" s="642" t="s">
        <v>2659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M38" s="494"/>
      <c r="JN38" s="409">
        <v>18</v>
      </c>
      <c r="JO38" s="543" t="s">
        <v>2785</v>
      </c>
      <c r="JS38" s="494"/>
      <c r="JT38" s="786" t="s">
        <v>2850</v>
      </c>
      <c r="JU38" s="784">
        <v>2.2000000000000002</v>
      </c>
    </row>
    <row r="39" spans="1:290" ht="13.5" thickBot="1" x14ac:dyDescent="0.25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2765</v>
      </c>
      <c r="IO39" s="2">
        <f>SUM(IQ25:IQ32)</f>
        <v>303.81</v>
      </c>
      <c r="IP39" s="409">
        <v>7.9</v>
      </c>
      <c r="IQ39" s="543" t="s">
        <v>2470</v>
      </c>
      <c r="IV39" s="504" t="s">
        <v>2600</v>
      </c>
      <c r="IW39" s="533">
        <v>28.77</v>
      </c>
      <c r="IZ39" s="342"/>
      <c r="JA39" s="756"/>
      <c r="JB39" s="409">
        <v>130</v>
      </c>
      <c r="JC39" s="543" t="s">
        <v>2628</v>
      </c>
      <c r="JH39" s="409">
        <v>10</v>
      </c>
      <c r="JI39" s="543" t="s">
        <v>2741</v>
      </c>
      <c r="JL39" s="748"/>
      <c r="JM39" s="494"/>
      <c r="JN39" s="409">
        <v>10</v>
      </c>
      <c r="JO39" s="63" t="s">
        <v>2786</v>
      </c>
      <c r="JT39" s="786" t="s">
        <v>2878</v>
      </c>
      <c r="JU39" s="784">
        <v>89.39</v>
      </c>
    </row>
    <row r="40" spans="1:290" ht="13.5" thickBot="1" x14ac:dyDescent="0.25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75" t="s">
        <v>1438</v>
      </c>
      <c r="DJ40" s="875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823" t="s">
        <v>2171</v>
      </c>
      <c r="II40" s="823"/>
      <c r="IJ40" s="409">
        <v>20</v>
      </c>
      <c r="IK40" s="340" t="s">
        <v>2407</v>
      </c>
      <c r="IN40" s="340" t="s">
        <v>2537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JA40" s="494"/>
      <c r="JB40" s="409">
        <v>30</v>
      </c>
      <c r="JC40" s="543" t="s">
        <v>2662</v>
      </c>
      <c r="JH40" s="409">
        <v>12</v>
      </c>
      <c r="JI40" s="543" t="s">
        <v>2745</v>
      </c>
      <c r="JM40" s="494"/>
      <c r="JN40" s="409">
        <f>86*3+96</f>
        <v>354</v>
      </c>
      <c r="JO40" s="63" t="s">
        <v>2787</v>
      </c>
      <c r="JP40" s="748"/>
      <c r="JQ40" s="748"/>
      <c r="JS40" s="789" t="s">
        <v>2893</v>
      </c>
      <c r="JT40" s="783" t="s">
        <v>2851</v>
      </c>
      <c r="JU40" s="784">
        <f>69.93+136.83</f>
        <v>206.76000000000002</v>
      </c>
    </row>
    <row r="41" spans="1:290" s="748" customFormat="1" x14ac:dyDescent="0.2">
      <c r="B41" s="61"/>
      <c r="E41" s="582"/>
      <c r="F41" s="582"/>
      <c r="H41" s="61"/>
      <c r="K41" s="582"/>
      <c r="L41" s="582"/>
      <c r="N41" s="61"/>
      <c r="Q41" s="198"/>
      <c r="R41" s="582"/>
      <c r="T41" s="61"/>
      <c r="W41" s="582"/>
      <c r="X41" s="582"/>
      <c r="Z41" s="61"/>
      <c r="AC41" s="582"/>
      <c r="AD41" s="582"/>
      <c r="AF41" s="61"/>
      <c r="AI41" s="582"/>
      <c r="AJ41" s="582"/>
      <c r="AL41" s="61"/>
      <c r="AO41" s="251"/>
      <c r="AP41" s="582"/>
      <c r="AR41" s="61"/>
      <c r="AU41" s="582"/>
      <c r="AV41" s="582"/>
      <c r="AX41" s="61"/>
      <c r="AY41" s="582"/>
      <c r="AZ41" s="582"/>
      <c r="BB41" s="61"/>
      <c r="BE41" s="582"/>
      <c r="BF41" s="582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4"/>
      <c r="DJ41" s="754"/>
      <c r="DK41" s="9"/>
      <c r="DL41" s="9"/>
      <c r="DM41" s="217"/>
      <c r="DN41" s="304"/>
      <c r="DO41" s="753"/>
      <c r="DP41" s="61"/>
      <c r="DQ41" s="9"/>
      <c r="DR41" s="9"/>
      <c r="DS41" s="217"/>
      <c r="DT41" s="304"/>
      <c r="DU41" s="753"/>
      <c r="DV41" s="61"/>
      <c r="EL41" s="752"/>
      <c r="EM41" s="752"/>
      <c r="EN41" s="288"/>
      <c r="ER41" s="751"/>
      <c r="ES41" s="205"/>
      <c r="EX41" s="751"/>
      <c r="EY41" s="751"/>
      <c r="FD41" s="751"/>
      <c r="FF41" s="751"/>
      <c r="FG41" s="751"/>
      <c r="FJ41" s="749"/>
      <c r="FK41" s="752"/>
      <c r="FL41" s="753"/>
      <c r="FM41" s="278"/>
      <c r="FP41" s="341"/>
      <c r="FQ41" s="341"/>
      <c r="FV41" s="749"/>
      <c r="FW41" s="751"/>
      <c r="GB41" s="342"/>
      <c r="GC41" s="344"/>
      <c r="GH41" s="749"/>
      <c r="GI41" s="751"/>
      <c r="GN41" s="337"/>
      <c r="GP41" s="753"/>
      <c r="GQ41" s="278"/>
      <c r="GT41" s="393"/>
      <c r="GU41" s="750"/>
      <c r="GZ41" s="337"/>
      <c r="HF41" s="398"/>
      <c r="HG41" s="344"/>
      <c r="HR41" s="398"/>
      <c r="HS41" s="344"/>
      <c r="HX41" s="409"/>
      <c r="HY41" s="750"/>
      <c r="ID41" s="409"/>
      <c r="IE41" s="750"/>
      <c r="IH41" s="747"/>
      <c r="II41" s="747"/>
      <c r="IJ41" s="409"/>
      <c r="IK41" s="750"/>
      <c r="IN41" s="342"/>
      <c r="IO41" s="756"/>
      <c r="IP41" s="409"/>
      <c r="IQ41" s="543"/>
      <c r="IV41" s="400"/>
      <c r="IW41" s="533"/>
      <c r="IX41" s="572"/>
      <c r="IY41" s="572"/>
      <c r="IZ41" s="618"/>
      <c r="JA41" s="494"/>
      <c r="JB41" s="409"/>
      <c r="JC41" s="543"/>
      <c r="JD41" s="618"/>
      <c r="JE41" s="618"/>
      <c r="JH41" s="757"/>
      <c r="JI41" s="401"/>
      <c r="JJ41" s="665"/>
      <c r="JK41" s="665"/>
      <c r="JL41" s="714"/>
      <c r="JM41" s="495"/>
      <c r="JN41" s="400" t="s">
        <v>2778</v>
      </c>
      <c r="JO41" s="533">
        <v>7.5</v>
      </c>
      <c r="JP41" s="727"/>
      <c r="JQ41" s="727"/>
      <c r="JR41" s="760"/>
      <c r="JS41" s="760"/>
      <c r="JT41" s="785" t="s">
        <v>2869</v>
      </c>
      <c r="JU41" s="784">
        <v>18.8</v>
      </c>
      <c r="JV41" s="760"/>
      <c r="JW41" s="760"/>
      <c r="JX41" s="799"/>
      <c r="JY41" s="799"/>
      <c r="JZ41" s="799"/>
      <c r="KA41" s="799"/>
      <c r="KB41" s="799"/>
      <c r="KC41" s="799"/>
      <c r="KD41" s="799"/>
    </row>
    <row r="42" spans="1:290" x14ac:dyDescent="0.2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1935</v>
      </c>
      <c r="FW42" s="6">
        <v>80</v>
      </c>
      <c r="GB42" s="6" t="s">
        <v>1952</v>
      </c>
      <c r="GC42">
        <v>80</v>
      </c>
      <c r="GH42" s="360" t="s">
        <v>1989</v>
      </c>
      <c r="GI42" s="6">
        <v>1100</v>
      </c>
      <c r="GJ42" t="s">
        <v>93</v>
      </c>
      <c r="GN42" s="337" t="s">
        <v>2031</v>
      </c>
      <c r="GO42">
        <f>76+25.2</f>
        <v>101.2</v>
      </c>
      <c r="GP42" s="253" t="s">
        <v>2286</v>
      </c>
      <c r="GQ42" s="278"/>
      <c r="GT42" s="393">
        <v>6</v>
      </c>
      <c r="GU42" s="340" t="s">
        <v>2108</v>
      </c>
      <c r="GV42" s="288"/>
      <c r="GZ42" s="386" t="s">
        <v>1747</v>
      </c>
      <c r="HA42" s="63"/>
      <c r="HB42" t="s">
        <v>1149</v>
      </c>
      <c r="HF42" s="210" t="s">
        <v>2163</v>
      </c>
      <c r="HG42" s="210">
        <v>440</v>
      </c>
      <c r="HR42" s="398" t="s">
        <v>2268</v>
      </c>
      <c r="HS42" s="344">
        <v>65.7</v>
      </c>
      <c r="HX42" s="409">
        <v>45</v>
      </c>
      <c r="HY42" s="340" t="s">
        <v>2298</v>
      </c>
      <c r="IB42" s="340" t="s">
        <v>2329</v>
      </c>
      <c r="IC42" s="353">
        <v>205</v>
      </c>
      <c r="ID42" s="409">
        <v>15</v>
      </c>
      <c r="IE42" s="340" t="s">
        <v>2315</v>
      </c>
      <c r="IH42" s="351" t="s">
        <v>1959</v>
      </c>
      <c r="II42" s="273">
        <f>SUM(IK7:IK9)</f>
        <v>1946.12</v>
      </c>
      <c r="IJ42" s="409">
        <v>40</v>
      </c>
      <c r="IK42" s="340" t="s">
        <v>2382</v>
      </c>
      <c r="IP42" s="409">
        <v>30</v>
      </c>
      <c r="IQ42" s="543" t="s">
        <v>2474</v>
      </c>
      <c r="IV42" s="400"/>
      <c r="IW42" s="533"/>
      <c r="JA42" s="495"/>
      <c r="JB42" s="409">
        <v>30</v>
      </c>
      <c r="JC42" s="543" t="s">
        <v>2645</v>
      </c>
      <c r="JG42" s="494"/>
      <c r="JH42" s="504" t="s">
        <v>2721</v>
      </c>
      <c r="JI42" s="533">
        <v>751</v>
      </c>
      <c r="JN42" s="400" t="s">
        <v>1386</v>
      </c>
      <c r="JO42" s="533">
        <v>15.79</v>
      </c>
      <c r="JP42" s="727"/>
      <c r="JQ42" s="727"/>
      <c r="JT42" s="786" t="s">
        <v>2857</v>
      </c>
      <c r="JU42" s="784">
        <v>89.8</v>
      </c>
    </row>
    <row r="43" spans="1:290" s="817" customFormat="1" x14ac:dyDescent="0.2">
      <c r="B43" s="61"/>
      <c r="E43" s="582"/>
      <c r="F43" s="582"/>
      <c r="H43" s="61"/>
      <c r="K43" s="197"/>
      <c r="L43" s="582"/>
      <c r="N43" s="61"/>
      <c r="Q43" s="582"/>
      <c r="R43" s="582"/>
      <c r="T43" s="61"/>
      <c r="W43" s="582"/>
      <c r="X43" s="582"/>
      <c r="Z43" s="61"/>
      <c r="AC43" s="582"/>
      <c r="AD43" s="582"/>
      <c r="AF43" s="61"/>
      <c r="AI43" s="582"/>
      <c r="AJ43" s="582"/>
      <c r="AL43" s="61"/>
      <c r="AO43" s="251"/>
      <c r="AP43" s="582"/>
      <c r="AR43" s="61"/>
      <c r="AU43" s="582"/>
      <c r="AV43" s="582"/>
      <c r="AX43" s="61"/>
      <c r="AY43" s="582"/>
      <c r="AZ43" s="582"/>
      <c r="BB43" s="61"/>
      <c r="BE43" s="582"/>
      <c r="BF43" s="582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21"/>
      <c r="ES43" s="320"/>
      <c r="EX43" s="820"/>
      <c r="EY43" s="820"/>
      <c r="FD43" s="820"/>
      <c r="FE43" s="820"/>
      <c r="FF43" s="820"/>
      <c r="FG43" s="820"/>
      <c r="FJ43" s="820"/>
      <c r="FK43" s="820"/>
      <c r="FL43" s="822"/>
      <c r="FM43" s="278"/>
      <c r="FP43" s="819"/>
      <c r="FQ43" s="341"/>
      <c r="FV43" s="818"/>
      <c r="FW43" s="820"/>
      <c r="GB43" s="820"/>
      <c r="GH43" s="818"/>
      <c r="GI43" s="820"/>
      <c r="GN43" s="337"/>
      <c r="GP43" s="822"/>
      <c r="GQ43" s="278"/>
      <c r="GT43" s="393"/>
      <c r="GU43" s="819"/>
      <c r="GV43" s="288"/>
      <c r="GZ43" s="386"/>
      <c r="HA43" s="63"/>
      <c r="HF43" s="210"/>
      <c r="HG43" s="210"/>
      <c r="HR43" s="398"/>
      <c r="HS43" s="344"/>
      <c r="HX43" s="757"/>
      <c r="HY43" s="342"/>
      <c r="IB43" s="342"/>
      <c r="IC43" s="756"/>
      <c r="ID43" s="409"/>
      <c r="IE43" s="819"/>
      <c r="IH43" s="351"/>
      <c r="II43" s="273"/>
      <c r="IJ43" s="409"/>
      <c r="IK43" s="81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N43" s="400"/>
      <c r="JO43" s="533"/>
      <c r="JT43" s="786" t="s">
        <v>1557</v>
      </c>
      <c r="JU43" s="784">
        <v>19.899999999999999</v>
      </c>
    </row>
    <row r="44" spans="1:290" ht="13.5" thickBot="1" x14ac:dyDescent="0.25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1941</v>
      </c>
      <c r="FW44" s="6">
        <v>4.5999999999999996</v>
      </c>
      <c r="GB44" s="360" t="s">
        <v>1956</v>
      </c>
      <c r="GC44" s="6">
        <v>11</v>
      </c>
      <c r="GH44" s="360" t="s">
        <v>1987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2090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2215</v>
      </c>
      <c r="HS44" s="344">
        <v>2.54</v>
      </c>
      <c r="HX44" s="398" t="s">
        <v>2271</v>
      </c>
      <c r="HY44" s="344">
        <v>98.89</v>
      </c>
      <c r="HZ44" t="s">
        <v>506</v>
      </c>
      <c r="ID44" s="409">
        <v>10</v>
      </c>
      <c r="IE44" s="340" t="s">
        <v>2349</v>
      </c>
      <c r="IH44" s="245" t="s">
        <v>1960</v>
      </c>
      <c r="II44" s="273">
        <f>SUM(IK14:IK15)</f>
        <v>1933.7466666666667</v>
      </c>
      <c r="IJ44" s="409">
        <v>10</v>
      </c>
      <c r="IK44" s="340" t="s">
        <v>2405</v>
      </c>
      <c r="IP44" s="409">
        <v>20</v>
      </c>
      <c r="IQ44" s="543" t="s">
        <v>2532</v>
      </c>
      <c r="IV44" s="400"/>
      <c r="IW44" s="533"/>
      <c r="IX44" s="748"/>
      <c r="IY44" s="748"/>
      <c r="JB44" s="409">
        <v>13</v>
      </c>
      <c r="JC44" s="543" t="s">
        <v>2677</v>
      </c>
      <c r="JD44" s="748"/>
      <c r="JE44" s="748"/>
      <c r="JG44" s="494"/>
      <c r="JH44" s="504" t="s">
        <v>1618</v>
      </c>
      <c r="JI44" s="533">
        <v>12.34</v>
      </c>
      <c r="JJ44" s="748"/>
      <c r="JK44" s="748"/>
      <c r="JN44" s="504" t="s">
        <v>2829</v>
      </c>
      <c r="JO44" s="533">
        <v>13.3</v>
      </c>
      <c r="JT44" s="787" t="s">
        <v>2600</v>
      </c>
      <c r="JU44" s="788">
        <f>80.82+75.78</f>
        <v>156.6</v>
      </c>
    </row>
    <row r="45" spans="1:290" x14ac:dyDescent="0.2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1961</v>
      </c>
      <c r="GC45" s="6">
        <v>20</v>
      </c>
      <c r="GD45" s="288"/>
      <c r="GH45" s="360" t="s">
        <v>2001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2067</v>
      </c>
      <c r="GU45" s="6">
        <v>70</v>
      </c>
      <c r="GZ45" s="341" t="s">
        <v>2102</v>
      </c>
      <c r="HA45" s="354">
        <f>GW16+GZ44-HC17</f>
        <v>134</v>
      </c>
      <c r="HF45" t="s">
        <v>2086</v>
      </c>
      <c r="HG45" s="6">
        <v>90</v>
      </c>
      <c r="HX45" s="602" t="s">
        <v>2317</v>
      </c>
      <c r="HY45" s="602"/>
      <c r="HZ45" t="s">
        <v>93</v>
      </c>
      <c r="ID45" s="409">
        <f>20+9</f>
        <v>29</v>
      </c>
      <c r="IE45" s="340" t="s">
        <v>2365</v>
      </c>
      <c r="IH45" s="362" t="s">
        <v>1392</v>
      </c>
      <c r="II45" s="2">
        <f>SUM(IK10:IK11)</f>
        <v>3467.75</v>
      </c>
      <c r="IJ45" s="409">
        <v>20</v>
      </c>
      <c r="IK45" s="340" t="s">
        <v>2430</v>
      </c>
      <c r="IO45" s="494"/>
      <c r="IP45" s="409">
        <v>12</v>
      </c>
      <c r="IQ45" s="543" t="s">
        <v>2487</v>
      </c>
      <c r="IV45" s="579"/>
      <c r="IW45" s="581"/>
      <c r="JB45" s="611" t="s">
        <v>2646</v>
      </c>
      <c r="JC45" s="532">
        <v>18</v>
      </c>
      <c r="JG45" s="495"/>
      <c r="JH45" s="400" t="s">
        <v>2773</v>
      </c>
      <c r="JI45" s="533">
        <v>65</v>
      </c>
      <c r="JN45" s="714" t="s">
        <v>2827</v>
      </c>
      <c r="JO45" s="533">
        <v>120.36</v>
      </c>
      <c r="JT45" s="809" t="s">
        <v>2883</v>
      </c>
      <c r="JU45" s="810">
        <v>27.83</v>
      </c>
    </row>
    <row r="46" spans="1:290" x14ac:dyDescent="0.2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1972</v>
      </c>
      <c r="GC46" s="6">
        <v>20</v>
      </c>
      <c r="GN46" s="341" t="s">
        <v>2047</v>
      </c>
      <c r="GO46" s="354">
        <f>GK17+GN45-GQ17</f>
        <v>104</v>
      </c>
      <c r="GP46" t="s">
        <v>1149</v>
      </c>
      <c r="GT46" s="360" t="s">
        <v>2085</v>
      </c>
      <c r="GU46" s="6">
        <v>29.6</v>
      </c>
      <c r="GZ46" s="392">
        <v>60</v>
      </c>
      <c r="HA46" s="340" t="s">
        <v>1828</v>
      </c>
      <c r="HX46" s="602"/>
      <c r="HY46" s="602"/>
      <c r="ID46" s="253" t="s">
        <v>2376</v>
      </c>
      <c r="IE46" s="344">
        <v>23</v>
      </c>
      <c r="IH46" s="346" t="s">
        <v>2166</v>
      </c>
      <c r="II46" s="2">
        <f>SUM(IK12:IK13)</f>
        <v>2138.0500000000002</v>
      </c>
      <c r="IJ46" s="409">
        <v>5</v>
      </c>
      <c r="IK46" s="340" t="s">
        <v>2409</v>
      </c>
      <c r="IO46" s="494"/>
      <c r="IP46" s="409">
        <v>20</v>
      </c>
      <c r="IQ46" s="543" t="s">
        <v>2220</v>
      </c>
      <c r="IV46" s="202"/>
      <c r="IW46" s="357"/>
      <c r="JB46" s="504" t="s">
        <v>2457</v>
      </c>
      <c r="JC46" s="618">
        <v>86.8</v>
      </c>
      <c r="JH46" s="504" t="s">
        <v>2710</v>
      </c>
      <c r="JI46" s="533">
        <v>13.3</v>
      </c>
      <c r="JN46" s="400" t="s">
        <v>2814</v>
      </c>
      <c r="JO46" s="533">
        <v>2.79</v>
      </c>
      <c r="JT46" s="809" t="s">
        <v>2884</v>
      </c>
      <c r="JU46" s="810">
        <v>8.61</v>
      </c>
    </row>
    <row r="47" spans="1:290" x14ac:dyDescent="0.2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1943</v>
      </c>
      <c r="FW47" s="6"/>
      <c r="GB47" s="360" t="s">
        <v>1967</v>
      </c>
      <c r="GC47" s="6">
        <v>30.35</v>
      </c>
      <c r="GH47" t="s">
        <v>1571</v>
      </c>
      <c r="GI47" s="1">
        <v>638</v>
      </c>
      <c r="GN47" s="340" t="s">
        <v>2024</v>
      </c>
      <c r="GO47" s="341"/>
      <c r="GP47" t="s">
        <v>1034</v>
      </c>
      <c r="GT47" s="360" t="s">
        <v>2064</v>
      </c>
      <c r="GU47" s="6">
        <v>32.1</v>
      </c>
      <c r="GZ47" s="393">
        <v>20</v>
      </c>
      <c r="HA47" s="340" t="s">
        <v>2148</v>
      </c>
      <c r="HX47" s="214" t="s">
        <v>2311</v>
      </c>
      <c r="HY47">
        <f>40+150</f>
        <v>190</v>
      </c>
      <c r="ID47" s="400" t="s">
        <v>2332</v>
      </c>
      <c r="IE47">
        <v>54.8</v>
      </c>
      <c r="IH47" s="345" t="s">
        <v>2167</v>
      </c>
      <c r="II47" s="2">
        <f>SUM(IK16:IK23)</f>
        <v>1252.2433333333333</v>
      </c>
      <c r="IJ47" s="409">
        <v>7</v>
      </c>
      <c r="IK47" s="340" t="s">
        <v>2426</v>
      </c>
      <c r="IO47" s="495"/>
      <c r="IP47" s="353">
        <v>10</v>
      </c>
      <c r="IQ47" s="543" t="s">
        <v>2497</v>
      </c>
      <c r="IV47" s="202"/>
      <c r="IW47" s="202"/>
      <c r="JB47" s="504" t="s">
        <v>2681</v>
      </c>
      <c r="JC47" s="533">
        <v>36.9</v>
      </c>
      <c r="JH47" s="202" t="s">
        <v>2771</v>
      </c>
      <c r="JI47" s="357">
        <v>3</v>
      </c>
      <c r="JN47" s="504" t="s">
        <v>2833</v>
      </c>
      <c r="JO47" s="533">
        <v>8.5500000000000007</v>
      </c>
      <c r="JT47" s="809" t="s">
        <v>2885</v>
      </c>
      <c r="JU47" s="810">
        <v>19.46</v>
      </c>
    </row>
    <row r="48" spans="1:290" x14ac:dyDescent="0.2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2011</v>
      </c>
      <c r="GI48" s="6"/>
      <c r="GJ48" t="s">
        <v>478</v>
      </c>
      <c r="GN48" s="340" t="s">
        <v>2045</v>
      </c>
      <c r="GO48" s="341"/>
      <c r="GT48" s="360" t="s">
        <v>1492</v>
      </c>
      <c r="GU48">
        <v>2.66</v>
      </c>
      <c r="GZ48" s="393">
        <v>30</v>
      </c>
      <c r="HA48" s="340" t="s">
        <v>2107</v>
      </c>
      <c r="HB48" s="288"/>
      <c r="HX48" s="604" t="s">
        <v>2279</v>
      </c>
      <c r="HY48" s="344">
        <v>150</v>
      </c>
      <c r="ID48" s="400" t="s">
        <v>1656</v>
      </c>
      <c r="IE48">
        <v>54.6</v>
      </c>
      <c r="IH48" s="337" t="s">
        <v>2165</v>
      </c>
      <c r="II48" s="2">
        <f>SUM(IK24:IK36)</f>
        <v>602.14</v>
      </c>
      <c r="IJ48" s="353">
        <f>-IK7</f>
        <v>-15</v>
      </c>
      <c r="IK48" s="340" t="s">
        <v>2410</v>
      </c>
      <c r="IP48" s="353">
        <f>17+11+6</f>
        <v>34</v>
      </c>
      <c r="IQ48" s="543" t="s">
        <v>2525</v>
      </c>
      <c r="IV48" s="398"/>
      <c r="IW48" s="202"/>
      <c r="JB48" s="504" t="s">
        <v>2710</v>
      </c>
      <c r="JC48" s="533">
        <v>13.3</v>
      </c>
      <c r="JH48" s="202"/>
      <c r="JI48" s="202"/>
      <c r="JN48" s="504" t="s">
        <v>2834</v>
      </c>
      <c r="JO48" s="533">
        <v>10.35</v>
      </c>
      <c r="JT48" s="809" t="s">
        <v>2887</v>
      </c>
      <c r="JU48" s="811">
        <f>5.42+0.41+0.58+2.33+0.29+0.28+0.26+1.45+0.29+4.73+1.54</f>
        <v>17.579999999999998</v>
      </c>
    </row>
    <row r="49" spans="41:289" x14ac:dyDescent="0.2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2094</v>
      </c>
      <c r="GO49" s="341"/>
      <c r="GT49" s="360" t="s">
        <v>2056</v>
      </c>
      <c r="GU49" s="6">
        <v>60.6</v>
      </c>
      <c r="GV49" s="884" t="s">
        <v>2093</v>
      </c>
      <c r="GZ49" s="360" t="s">
        <v>2111</v>
      </c>
      <c r="HA49" s="6">
        <v>6</v>
      </c>
      <c r="HX49" s="605" t="s">
        <v>2307</v>
      </c>
      <c r="HY49">
        <f>389.7+107.1</f>
        <v>496.79999999999995</v>
      </c>
      <c r="ID49" s="400" t="s">
        <v>2353</v>
      </c>
      <c r="IE49">
        <v>195.81</v>
      </c>
      <c r="IH49" s="337" t="s">
        <v>2765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2531</v>
      </c>
      <c r="IV49" s="202"/>
      <c r="IW49" s="342"/>
      <c r="JB49" s="400"/>
      <c r="JC49" s="533"/>
      <c r="JH49" s="398"/>
      <c r="JI49" s="202"/>
      <c r="JN49" s="504" t="s">
        <v>2835</v>
      </c>
      <c r="JO49" s="533">
        <v>15.000999999999999</v>
      </c>
      <c r="JS49" s="65" t="s">
        <v>2901</v>
      </c>
      <c r="JT49" s="809" t="s">
        <v>2890</v>
      </c>
      <c r="JU49" s="812">
        <f>0.29*3</f>
        <v>0.86999999999999988</v>
      </c>
    </row>
    <row r="50" spans="41:289" x14ac:dyDescent="0.2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1971</v>
      </c>
      <c r="GC50" s="6"/>
      <c r="GN50" s="340" t="s">
        <v>2044</v>
      </c>
      <c r="GO50" s="341"/>
      <c r="GP50" t="s">
        <v>478</v>
      </c>
      <c r="GT50" s="360" t="s">
        <v>2063</v>
      </c>
      <c r="GU50" s="6">
        <v>14.9</v>
      </c>
      <c r="GV50" s="884"/>
      <c r="GZ50" t="s">
        <v>2087</v>
      </c>
      <c r="HA50" s="210">
        <v>670.00099999999998</v>
      </c>
      <c r="HX50" s="604" t="s">
        <v>2278</v>
      </c>
      <c r="HY50" s="410">
        <v>14.4</v>
      </c>
      <c r="ID50" s="400" t="s">
        <v>2361</v>
      </c>
      <c r="IE50">
        <v>50</v>
      </c>
      <c r="IH50" s="340" t="s">
        <v>2432</v>
      </c>
      <c r="II50" s="353">
        <v>300</v>
      </c>
      <c r="IJ50" s="353">
        <v>20</v>
      </c>
      <c r="IK50" s="340" t="s">
        <v>2428</v>
      </c>
      <c r="IP50" s="504" t="s">
        <v>2471</v>
      </c>
      <c r="IQ50" s="533">
        <f>757-3.8</f>
        <v>753.2</v>
      </c>
      <c r="IV50" s="400"/>
      <c r="IW50" s="580"/>
      <c r="JB50" s="400"/>
      <c r="JC50" s="533"/>
      <c r="JH50" s="202"/>
      <c r="JI50" s="342"/>
      <c r="JN50" s="202" t="s">
        <v>2836</v>
      </c>
      <c r="JO50" s="357">
        <v>7.67</v>
      </c>
      <c r="JS50" s="212" t="s">
        <v>2902</v>
      </c>
      <c r="JT50" s="813" t="s">
        <v>2892</v>
      </c>
      <c r="JU50" s="811">
        <v>21.27</v>
      </c>
    </row>
    <row r="51" spans="41:289" x14ac:dyDescent="0.2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2029</v>
      </c>
      <c r="GO51" s="6">
        <f>360+18</f>
        <v>378</v>
      </c>
      <c r="GP51" s="288" t="s">
        <v>1306</v>
      </c>
      <c r="GT51" s="360" t="s">
        <v>2082</v>
      </c>
      <c r="GU51" s="6">
        <v>55.29</v>
      </c>
      <c r="GV51" s="884"/>
      <c r="GZ51" s="210" t="s">
        <v>2118</v>
      </c>
      <c r="HX51" s="605" t="s">
        <v>2309</v>
      </c>
      <c r="HY51">
        <v>17.88</v>
      </c>
      <c r="ID51" s="400" t="s">
        <v>2363</v>
      </c>
      <c r="IE51">
        <v>26.8</v>
      </c>
      <c r="IJ51" s="409">
        <v>10</v>
      </c>
      <c r="IK51" s="63" t="s">
        <v>2403</v>
      </c>
      <c r="IP51" s="504" t="s">
        <v>2457</v>
      </c>
      <c r="IQ51" s="533">
        <v>92.8</v>
      </c>
      <c r="IV51" s="400"/>
      <c r="IW51" s="202"/>
      <c r="JB51" s="400"/>
      <c r="JC51" s="533"/>
      <c r="JH51" s="400"/>
      <c r="JI51" s="580"/>
      <c r="JN51" s="400" t="s">
        <v>2837</v>
      </c>
      <c r="JO51" s="357">
        <v>3</v>
      </c>
      <c r="JS51" s="816"/>
      <c r="JT51" s="814" t="s">
        <v>2888</v>
      </c>
      <c r="JU51" s="815"/>
    </row>
    <row r="52" spans="41:289" x14ac:dyDescent="0.2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1929</v>
      </c>
      <c r="FQ52" s="253"/>
      <c r="GN52" s="360" t="s">
        <v>2036</v>
      </c>
      <c r="GO52">
        <v>38.9</v>
      </c>
      <c r="GU52" s="6"/>
      <c r="GV52" s="884"/>
      <c r="GZ52" t="s">
        <v>2086</v>
      </c>
      <c r="HA52" s="6">
        <v>50.000999999999998</v>
      </c>
      <c r="HF52" s="1"/>
      <c r="HX52" s="605" t="s">
        <v>2310</v>
      </c>
      <c r="HY52">
        <v>23.86</v>
      </c>
      <c r="IJ52" s="504" t="s">
        <v>2399</v>
      </c>
      <c r="IK52" s="515">
        <f>161+14</f>
        <v>175</v>
      </c>
      <c r="IP52" s="504" t="s">
        <v>2463</v>
      </c>
      <c r="IQ52" s="533">
        <f>220.8+7.27*2</f>
        <v>235.34</v>
      </c>
      <c r="IV52" s="400"/>
      <c r="IW52" s="202"/>
      <c r="JB52" s="579"/>
      <c r="JC52" s="581"/>
      <c r="JH52" s="400"/>
      <c r="JI52" s="202"/>
      <c r="JN52" s="400"/>
    </row>
    <row r="53" spans="41:289" x14ac:dyDescent="0.2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2039</v>
      </c>
      <c r="GO53" s="6">
        <v>33</v>
      </c>
      <c r="GT53" t="s">
        <v>2087</v>
      </c>
      <c r="GU53" s="394">
        <v>900</v>
      </c>
      <c r="HB53" s="1"/>
      <c r="HC53" s="1"/>
      <c r="HD53" s="1"/>
      <c r="HE53" s="1"/>
      <c r="HF53" s="1"/>
      <c r="HX53" s="605" t="s">
        <v>2308</v>
      </c>
      <c r="HY53">
        <v>19.89</v>
      </c>
      <c r="ID53" s="491" t="s">
        <v>2317</v>
      </c>
      <c r="IE53" s="491"/>
      <c r="II53" s="494"/>
      <c r="IJ53" s="504" t="s">
        <v>2421</v>
      </c>
      <c r="IK53" s="515">
        <v>87.8</v>
      </c>
      <c r="IP53" s="398" t="s">
        <v>2488</v>
      </c>
      <c r="IQ53" s="533">
        <v>84.9</v>
      </c>
      <c r="IV53" s="400"/>
      <c r="JB53" s="202"/>
      <c r="JC53" s="357"/>
      <c r="JH53" s="400"/>
      <c r="JI53" s="202"/>
    </row>
    <row r="54" spans="41:289" x14ac:dyDescent="0.2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2084</v>
      </c>
      <c r="HB54" s="1"/>
      <c r="HC54" s="1"/>
      <c r="HD54" s="406"/>
      <c r="HE54" s="1"/>
      <c r="HF54" s="1"/>
      <c r="HX54" s="605" t="s">
        <v>2296</v>
      </c>
      <c r="HY54">
        <f>30.9+469.82+100.14+34.91</f>
        <v>635.77</v>
      </c>
      <c r="ID54" s="214" t="s">
        <v>2316</v>
      </c>
      <c r="IE54" s="142">
        <f>30+139.5</f>
        <v>169.5</v>
      </c>
      <c r="II54" s="494"/>
      <c r="IJ54" s="504" t="s">
        <v>2431</v>
      </c>
      <c r="IK54" s="515">
        <f>40.6+11.5</f>
        <v>52.1</v>
      </c>
      <c r="IP54" s="400" t="s">
        <v>2489</v>
      </c>
      <c r="IQ54" s="533">
        <v>105.8</v>
      </c>
      <c r="IV54" s="400"/>
      <c r="JB54" s="202"/>
      <c r="JC54" s="202"/>
      <c r="JH54" s="400"/>
    </row>
    <row r="55" spans="41:289" x14ac:dyDescent="0.2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2086</v>
      </c>
      <c r="GU55" s="6">
        <v>44</v>
      </c>
      <c r="HB55" s="1"/>
      <c r="HC55" s="1"/>
      <c r="HD55" s="406"/>
      <c r="HE55" s="1"/>
      <c r="HF55" s="1"/>
      <c r="HX55" s="142" t="s">
        <v>2267</v>
      </c>
      <c r="HY55" s="142">
        <v>7329.5</v>
      </c>
      <c r="ID55" s="214" t="s">
        <v>2330</v>
      </c>
      <c r="IE55">
        <v>15.32</v>
      </c>
      <c r="II55" s="495"/>
      <c r="IJ55" s="504" t="s">
        <v>2448</v>
      </c>
      <c r="IK55" s="515">
        <v>10.49</v>
      </c>
      <c r="IP55" s="400" t="s">
        <v>2492</v>
      </c>
      <c r="IQ55" s="533"/>
      <c r="IV55" s="400"/>
      <c r="JB55" s="398"/>
      <c r="JC55" s="202"/>
      <c r="JH55" s="400"/>
    </row>
    <row r="56" spans="41:289" x14ac:dyDescent="0.2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2046</v>
      </c>
      <c r="GO56" s="1"/>
      <c r="HB56" s="1"/>
      <c r="HC56" s="1"/>
      <c r="HD56" s="406"/>
      <c r="HE56" s="1"/>
      <c r="HF56" s="1"/>
      <c r="HX56" s="400"/>
      <c r="ID56" s="604" t="s">
        <v>2331</v>
      </c>
      <c r="IE56" s="344">
        <v>67.61</v>
      </c>
      <c r="IJ56" s="504" t="s">
        <v>2296</v>
      </c>
      <c r="IK56" s="515">
        <v>135.09</v>
      </c>
      <c r="IP56" s="400" t="s">
        <v>2483</v>
      </c>
      <c r="IQ56" s="533">
        <v>47.05</v>
      </c>
      <c r="JB56" s="202"/>
      <c r="JC56" s="342"/>
      <c r="JH56" s="400"/>
    </row>
    <row r="57" spans="41:289" x14ac:dyDescent="0.2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2339</v>
      </c>
      <c r="IE57" s="493">
        <v>-25.98</v>
      </c>
      <c r="IJ57" s="491" t="s">
        <v>2429</v>
      </c>
      <c r="IK57" s="491"/>
      <c r="IP57" s="400" t="s">
        <v>2533</v>
      </c>
      <c r="IQ57" s="581">
        <v>22.2</v>
      </c>
      <c r="JB57" s="400"/>
      <c r="JC57" s="580"/>
    </row>
    <row r="58" spans="41:289" x14ac:dyDescent="0.2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5" t="s">
        <v>2359</v>
      </c>
      <c r="IE58">
        <v>8.8000000000000007</v>
      </c>
      <c r="IJ58" s="400" t="s">
        <v>2377</v>
      </c>
      <c r="IK58">
        <v>150</v>
      </c>
      <c r="IP58" s="579" t="s">
        <v>2536</v>
      </c>
      <c r="IQ58" s="357">
        <v>22.6</v>
      </c>
      <c r="JB58" s="400"/>
      <c r="JC58" s="202"/>
    </row>
    <row r="59" spans="41:289" x14ac:dyDescent="0.2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2" t="s">
        <v>2373</v>
      </c>
      <c r="IE59">
        <f>2000+1311.79</f>
        <v>3311.79</v>
      </c>
      <c r="IJ59" s="400" t="s">
        <v>2359</v>
      </c>
      <c r="IK59">
        <v>5.4</v>
      </c>
      <c r="IP59" s="202"/>
      <c r="IQ59" s="202"/>
      <c r="JB59" s="400"/>
      <c r="JC59" s="202"/>
      <c r="JW59" s="390"/>
      <c r="KC59" s="390"/>
    </row>
    <row r="60" spans="41:289" x14ac:dyDescent="0.2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</row>
    <row r="61" spans="41:289" x14ac:dyDescent="0.2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</row>
    <row r="62" spans="41:289" x14ac:dyDescent="0.2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80"/>
      <c r="JB62" s="400"/>
    </row>
    <row r="63" spans="41:289" x14ac:dyDescent="0.2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</row>
    <row r="64" spans="41:289" x14ac:dyDescent="0.2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Q64" s="390"/>
    </row>
    <row r="65" spans="111:271" x14ac:dyDescent="0.2">
      <c r="DG65" s="218" t="s">
        <v>1167</v>
      </c>
      <c r="DH65" s="302">
        <v>1500</v>
      </c>
      <c r="IP65" s="400"/>
      <c r="JK65" s="390"/>
    </row>
    <row r="66" spans="111:271" x14ac:dyDescent="0.2">
      <c r="IJ66" s="398"/>
      <c r="IK66" s="344"/>
      <c r="IP66" s="400"/>
    </row>
    <row r="67" spans="111:271" x14ac:dyDescent="0.2">
      <c r="IK67" s="493"/>
      <c r="IM67" s="390"/>
      <c r="IP67" s="400"/>
      <c r="IS67" s="390"/>
    </row>
    <row r="68" spans="111:271" x14ac:dyDescent="0.2">
      <c r="IJ68" s="400"/>
      <c r="IP68" s="400"/>
    </row>
    <row r="69" spans="111:271" x14ac:dyDescent="0.2">
      <c r="HO69" s="390"/>
      <c r="IG69" s="390"/>
      <c r="IJ69" s="400"/>
    </row>
    <row r="70" spans="111:271" x14ac:dyDescent="0.2">
      <c r="IJ70" s="400"/>
    </row>
    <row r="71" spans="111:271" x14ac:dyDescent="0.2">
      <c r="IJ71" s="400"/>
    </row>
    <row r="72" spans="111:271" x14ac:dyDescent="0.2">
      <c r="IJ72" s="400"/>
    </row>
    <row r="73" spans="111:271" x14ac:dyDescent="0.2">
      <c r="IJ73" s="400"/>
    </row>
    <row r="74" spans="111:271" x14ac:dyDescent="0.2">
      <c r="HI74" s="390"/>
    </row>
    <row r="76" spans="111:271" x14ac:dyDescent="0.2">
      <c r="GW76" s="390"/>
    </row>
    <row r="77" spans="111:271" x14ac:dyDescent="0.2">
      <c r="HU77" s="390"/>
    </row>
    <row r="78" spans="111:271" x14ac:dyDescent="0.2">
      <c r="HC78" s="390"/>
    </row>
    <row r="79" spans="111:271" x14ac:dyDescent="0.2">
      <c r="IA79" s="390"/>
    </row>
  </sheetData>
  <mergeCells count="249"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5"/>
  <sheetViews>
    <sheetView workbookViewId="0">
      <selection activeCell="P42" sqref="P42"/>
    </sheetView>
  </sheetViews>
  <sheetFormatPr defaultRowHeight="12.75" x14ac:dyDescent="0.2"/>
  <cols>
    <col min="1" max="1" width="0.5703125" customWidth="1"/>
    <col min="2" max="2" width="9.7109375" bestFit="1" customWidth="1"/>
    <col min="3" max="3" width="5.7109375" customWidth="1"/>
    <col min="5" max="5" width="1.7109375" customWidth="1"/>
    <col min="6" max="6" width="9.7109375" style="770" bestFit="1" customWidth="1"/>
    <col min="7" max="7" width="4" style="770" bestFit="1" customWidth="1"/>
    <col min="8" max="8" width="8.85546875" style="770"/>
    <col min="9" max="9" width="1.7109375" style="770" customWidth="1"/>
    <col min="10" max="10" width="9.7109375" style="770" bestFit="1" customWidth="1"/>
    <col min="11" max="11" width="4" style="770" bestFit="1" customWidth="1"/>
    <col min="12" max="12" width="8.85546875" style="770"/>
    <col min="13" max="13" width="1.7109375" style="770" customWidth="1"/>
    <col min="14" max="14" width="9.7109375" style="770" bestFit="1" customWidth="1"/>
    <col min="15" max="15" width="4" style="770" bestFit="1" customWidth="1"/>
    <col min="16" max="16" width="8.85546875" style="770"/>
  </cols>
  <sheetData>
    <row r="1" spans="2:16" s="770" customFormat="1" ht="5.45" customHeight="1" x14ac:dyDescent="0.2"/>
    <row r="2" spans="2:16" s="770" customFormat="1" x14ac:dyDescent="0.2">
      <c r="D2" t="s">
        <v>2841</v>
      </c>
      <c r="G2" s="770" t="s">
        <v>2842</v>
      </c>
      <c r="H2" s="770" t="s">
        <v>2841</v>
      </c>
      <c r="K2" s="770" t="s">
        <v>2842</v>
      </c>
      <c r="L2" s="770" t="s">
        <v>2841</v>
      </c>
      <c r="O2" s="770" t="s">
        <v>2842</v>
      </c>
      <c r="P2" s="770" t="s">
        <v>2841</v>
      </c>
    </row>
    <row r="3" spans="2:16" x14ac:dyDescent="0.2">
      <c r="B3" s="628">
        <v>45047</v>
      </c>
      <c r="C3">
        <v>0</v>
      </c>
      <c r="D3" s="771">
        <f t="shared" ref="D3" si="0">C3*1000*0.0005/365</f>
        <v>0</v>
      </c>
      <c r="F3" s="628">
        <v>44927</v>
      </c>
      <c r="G3" s="770">
        <v>290</v>
      </c>
      <c r="H3" s="770">
        <f t="shared" ref="H3:H8" si="1">G3*1000*0.0445/365</f>
        <v>35.356164383561641</v>
      </c>
      <c r="J3" s="628">
        <v>44958</v>
      </c>
      <c r="K3" s="770">
        <v>360</v>
      </c>
      <c r="L3" s="770">
        <f t="shared" ref="L3:L8" si="2">K3*1000*0.0445/365</f>
        <v>43.890410958904113</v>
      </c>
      <c r="N3" s="628">
        <v>44986</v>
      </c>
      <c r="O3" s="770">
        <v>590</v>
      </c>
      <c r="P3" s="770">
        <f t="shared" ref="P3:P8" si="3">O3*1000*0.0445/365</f>
        <v>71.93150684931507</v>
      </c>
    </row>
    <row r="4" spans="2:16" x14ac:dyDescent="0.2">
      <c r="B4" s="628">
        <v>45048</v>
      </c>
      <c r="C4">
        <v>325</v>
      </c>
      <c r="D4" s="771">
        <f>C4*1000*0.05%/365</f>
        <v>0.4452054794520548</v>
      </c>
      <c r="F4" s="628">
        <v>44928</v>
      </c>
      <c r="G4" s="770">
        <v>290</v>
      </c>
      <c r="H4" s="770">
        <f t="shared" si="1"/>
        <v>35.356164383561641</v>
      </c>
      <c r="J4" s="628">
        <v>44959</v>
      </c>
      <c r="K4" s="770">
        <v>360</v>
      </c>
      <c r="L4" s="770">
        <f t="shared" si="2"/>
        <v>43.890410958904113</v>
      </c>
      <c r="N4" s="628">
        <v>44987</v>
      </c>
      <c r="O4" s="770">
        <v>590</v>
      </c>
      <c r="P4" s="770">
        <f t="shared" si="3"/>
        <v>71.93150684931507</v>
      </c>
    </row>
    <row r="5" spans="2:16" x14ac:dyDescent="0.2">
      <c r="B5" s="628">
        <v>45049</v>
      </c>
      <c r="C5">
        <v>500</v>
      </c>
      <c r="D5" s="771">
        <f t="shared" ref="D5:D33" si="4">C5*1000*0.05%/365</f>
        <v>0.68493150684931503</v>
      </c>
      <c r="F5" s="628">
        <v>44929</v>
      </c>
      <c r="G5" s="770">
        <v>300</v>
      </c>
      <c r="H5" s="770">
        <f t="shared" si="1"/>
        <v>36.575342465753423</v>
      </c>
      <c r="J5" s="628">
        <v>44960</v>
      </c>
      <c r="K5" s="770">
        <v>360</v>
      </c>
      <c r="L5" s="770">
        <f t="shared" si="2"/>
        <v>43.890410958904113</v>
      </c>
      <c r="N5" s="628">
        <v>44988</v>
      </c>
      <c r="O5" s="770">
        <v>590</v>
      </c>
      <c r="P5" s="770">
        <f t="shared" si="3"/>
        <v>71.93150684931507</v>
      </c>
    </row>
    <row r="6" spans="2:16" x14ac:dyDescent="0.2">
      <c r="B6" s="628">
        <v>45050</v>
      </c>
      <c r="C6" s="771">
        <v>500</v>
      </c>
      <c r="D6" s="771">
        <f t="shared" si="4"/>
        <v>0.68493150684931503</v>
      </c>
      <c r="F6" s="628">
        <v>44930</v>
      </c>
      <c r="G6" s="770">
        <v>300</v>
      </c>
      <c r="H6" s="770">
        <f t="shared" si="1"/>
        <v>36.575342465753423</v>
      </c>
      <c r="J6" s="628">
        <v>44961</v>
      </c>
      <c r="K6" s="770">
        <v>360</v>
      </c>
      <c r="L6" s="770">
        <f t="shared" si="2"/>
        <v>43.890410958904113</v>
      </c>
      <c r="N6" s="628">
        <v>44989</v>
      </c>
      <c r="O6" s="770">
        <v>590</v>
      </c>
      <c r="P6" s="770">
        <f t="shared" si="3"/>
        <v>71.93150684931507</v>
      </c>
    </row>
    <row r="7" spans="2:16" x14ac:dyDescent="0.2">
      <c r="B7" s="628">
        <v>45051</v>
      </c>
      <c r="C7" s="771">
        <v>500</v>
      </c>
      <c r="D7" s="771">
        <f t="shared" si="4"/>
        <v>0.68493150684931503</v>
      </c>
      <c r="F7" s="628">
        <v>44931</v>
      </c>
      <c r="G7" s="770">
        <v>300</v>
      </c>
      <c r="H7" s="770">
        <f t="shared" si="1"/>
        <v>36.575342465753423</v>
      </c>
      <c r="J7" s="628">
        <v>44962</v>
      </c>
      <c r="K7" s="770">
        <v>360</v>
      </c>
      <c r="L7" s="770">
        <f t="shared" si="2"/>
        <v>43.890410958904113</v>
      </c>
      <c r="N7" s="628">
        <v>44990</v>
      </c>
      <c r="O7" s="770">
        <v>590</v>
      </c>
      <c r="P7" s="770">
        <f t="shared" si="3"/>
        <v>71.93150684931507</v>
      </c>
    </row>
    <row r="8" spans="2:16" x14ac:dyDescent="0.2">
      <c r="B8" s="628">
        <v>45052</v>
      </c>
      <c r="C8" s="771">
        <v>500</v>
      </c>
      <c r="D8" s="771">
        <f t="shared" si="4"/>
        <v>0.68493150684931503</v>
      </c>
      <c r="F8" s="628">
        <v>44932</v>
      </c>
      <c r="G8" s="770">
        <v>305</v>
      </c>
      <c r="H8" s="770">
        <f t="shared" si="1"/>
        <v>37.184931506849317</v>
      </c>
      <c r="J8" s="628">
        <v>44963</v>
      </c>
      <c r="K8" s="770">
        <v>360</v>
      </c>
      <c r="L8" s="770">
        <f t="shared" si="2"/>
        <v>43.890410958904113</v>
      </c>
      <c r="N8" s="628">
        <v>44991</v>
      </c>
      <c r="O8" s="770">
        <v>590</v>
      </c>
      <c r="P8" s="770">
        <f t="shared" si="3"/>
        <v>71.93150684931507</v>
      </c>
    </row>
    <row r="9" spans="2:16" x14ac:dyDescent="0.2">
      <c r="B9" s="628">
        <v>45053</v>
      </c>
      <c r="C9" s="771">
        <v>500</v>
      </c>
      <c r="D9" s="771">
        <f t="shared" si="4"/>
        <v>0.68493150684931503</v>
      </c>
      <c r="F9" s="628">
        <v>44933</v>
      </c>
      <c r="G9" s="770">
        <v>305</v>
      </c>
      <c r="H9" s="770">
        <f>G9*1000*0.0445/365</f>
        <v>37.184931506849317</v>
      </c>
      <c r="J9" s="628">
        <v>44964</v>
      </c>
      <c r="K9" s="770">
        <v>360</v>
      </c>
      <c r="L9" s="770">
        <f>K9*1000*0.0445/365</f>
        <v>43.890410958904113</v>
      </c>
      <c r="N9" s="628">
        <v>44992</v>
      </c>
      <c r="O9" s="770">
        <v>590</v>
      </c>
      <c r="P9" s="770">
        <f>O9*1000*0.0445/365</f>
        <v>71.93150684931507</v>
      </c>
    </row>
    <row r="10" spans="2:16" x14ac:dyDescent="0.2">
      <c r="B10" s="628">
        <v>45054</v>
      </c>
      <c r="C10" s="771">
        <v>500</v>
      </c>
      <c r="D10" s="771">
        <f t="shared" si="4"/>
        <v>0.68493150684931503</v>
      </c>
      <c r="F10" s="628">
        <v>44934</v>
      </c>
      <c r="G10" s="770">
        <v>305</v>
      </c>
      <c r="H10" s="770">
        <f t="shared" ref="H10:H33" si="5">G10*1000*0.0445/365</f>
        <v>37.184931506849317</v>
      </c>
      <c r="J10" s="628">
        <v>44965</v>
      </c>
      <c r="K10" s="770">
        <v>360</v>
      </c>
      <c r="L10" s="770">
        <f t="shared" ref="L10:L30" si="6">K10*1000*0.0445/365</f>
        <v>43.890410958904113</v>
      </c>
      <c r="N10" s="628">
        <v>44993</v>
      </c>
      <c r="O10" s="770">
        <v>590</v>
      </c>
      <c r="P10" s="770">
        <f t="shared" ref="P10:P33" si="7">O10*1000*0.0445/365</f>
        <v>71.93150684931507</v>
      </c>
    </row>
    <row r="11" spans="2:16" x14ac:dyDescent="0.2">
      <c r="B11" s="628">
        <v>45055</v>
      </c>
      <c r="C11" s="771">
        <v>500</v>
      </c>
      <c r="D11" s="771">
        <f t="shared" si="4"/>
        <v>0.68493150684931503</v>
      </c>
      <c r="F11" s="628">
        <v>44935</v>
      </c>
      <c r="G11" s="770">
        <v>305</v>
      </c>
      <c r="H11" s="770">
        <f t="shared" si="5"/>
        <v>37.184931506849317</v>
      </c>
      <c r="J11" s="628">
        <v>44966</v>
      </c>
      <c r="K11" s="770">
        <v>360</v>
      </c>
      <c r="L11" s="770">
        <f t="shared" si="6"/>
        <v>43.890410958904113</v>
      </c>
      <c r="N11" s="628">
        <v>44994</v>
      </c>
      <c r="O11" s="770">
        <v>590</v>
      </c>
      <c r="P11" s="770">
        <f t="shared" si="7"/>
        <v>71.93150684931507</v>
      </c>
    </row>
    <row r="12" spans="2:16" x14ac:dyDescent="0.2">
      <c r="B12" s="628">
        <v>45056</v>
      </c>
      <c r="C12" s="771">
        <v>500</v>
      </c>
      <c r="D12" s="771">
        <f t="shared" si="4"/>
        <v>0.68493150684931503</v>
      </c>
      <c r="F12" s="628">
        <v>44936</v>
      </c>
      <c r="G12" s="770">
        <v>305</v>
      </c>
      <c r="H12" s="770">
        <f t="shared" si="5"/>
        <v>37.184931506849317</v>
      </c>
      <c r="J12" s="628">
        <v>44967</v>
      </c>
      <c r="K12" s="770">
        <v>360</v>
      </c>
      <c r="L12" s="770">
        <f t="shared" si="6"/>
        <v>43.890410958904113</v>
      </c>
      <c r="N12" s="628">
        <v>44995</v>
      </c>
      <c r="O12" s="770">
        <v>590</v>
      </c>
      <c r="P12" s="770">
        <f t="shared" si="7"/>
        <v>71.93150684931507</v>
      </c>
    </row>
    <row r="13" spans="2:16" x14ac:dyDescent="0.2">
      <c r="B13" s="628">
        <v>45057</v>
      </c>
      <c r="C13" s="770">
        <v>515</v>
      </c>
      <c r="D13" s="771">
        <f t="shared" si="4"/>
        <v>0.70547945205479456</v>
      </c>
      <c r="F13" s="628">
        <v>44937</v>
      </c>
      <c r="G13" s="770">
        <v>305</v>
      </c>
      <c r="H13" s="770">
        <f t="shared" si="5"/>
        <v>37.184931506849317</v>
      </c>
      <c r="J13" s="628">
        <v>44968</v>
      </c>
      <c r="K13" s="770">
        <v>360</v>
      </c>
      <c r="L13" s="770">
        <f t="shared" si="6"/>
        <v>43.890410958904113</v>
      </c>
      <c r="N13" s="628">
        <v>44996</v>
      </c>
      <c r="O13" s="770">
        <v>590</v>
      </c>
      <c r="P13" s="770">
        <f t="shared" si="7"/>
        <v>71.93150684931507</v>
      </c>
    </row>
    <row r="14" spans="2:16" x14ac:dyDescent="0.2">
      <c r="B14" s="628">
        <v>45058</v>
      </c>
      <c r="C14" s="771">
        <v>515</v>
      </c>
      <c r="D14" s="771">
        <f t="shared" si="4"/>
        <v>0.70547945205479456</v>
      </c>
      <c r="F14" s="628">
        <v>44938</v>
      </c>
      <c r="G14" s="770">
        <v>305</v>
      </c>
      <c r="H14" s="770">
        <f t="shared" si="5"/>
        <v>37.184931506849317</v>
      </c>
      <c r="J14" s="628">
        <v>44969</v>
      </c>
      <c r="K14" s="770">
        <v>360</v>
      </c>
      <c r="L14" s="770">
        <f t="shared" si="6"/>
        <v>43.890410958904113</v>
      </c>
      <c r="N14" s="628">
        <v>44997</v>
      </c>
      <c r="O14" s="770">
        <v>590</v>
      </c>
      <c r="P14" s="770">
        <f t="shared" si="7"/>
        <v>71.93150684931507</v>
      </c>
    </row>
    <row r="15" spans="2:16" x14ac:dyDescent="0.2">
      <c r="B15" s="628">
        <v>45059</v>
      </c>
      <c r="C15" s="771">
        <v>515</v>
      </c>
      <c r="D15" s="771">
        <f t="shared" si="4"/>
        <v>0.70547945205479456</v>
      </c>
      <c r="F15" s="628">
        <v>44939</v>
      </c>
      <c r="G15" s="770">
        <v>305</v>
      </c>
      <c r="H15" s="770">
        <f t="shared" si="5"/>
        <v>37.184931506849317</v>
      </c>
      <c r="J15" s="628">
        <v>44970</v>
      </c>
      <c r="K15" s="770">
        <v>360</v>
      </c>
      <c r="L15" s="770">
        <f t="shared" si="6"/>
        <v>43.890410958904113</v>
      </c>
      <c r="N15" s="628">
        <v>44998</v>
      </c>
      <c r="O15" s="770">
        <v>590</v>
      </c>
      <c r="P15" s="770">
        <f t="shared" si="7"/>
        <v>71.93150684931507</v>
      </c>
    </row>
    <row r="16" spans="2:16" x14ac:dyDescent="0.2">
      <c r="B16" s="628">
        <v>45060</v>
      </c>
      <c r="C16" s="771">
        <v>515</v>
      </c>
      <c r="D16" s="771">
        <f t="shared" si="4"/>
        <v>0.70547945205479456</v>
      </c>
      <c r="F16" s="628">
        <v>44940</v>
      </c>
      <c r="G16" s="770">
        <v>305</v>
      </c>
      <c r="H16" s="770">
        <f t="shared" si="5"/>
        <v>37.184931506849317</v>
      </c>
      <c r="J16" s="628">
        <v>44971</v>
      </c>
      <c r="K16" s="770">
        <v>360</v>
      </c>
      <c r="L16" s="770">
        <f t="shared" si="6"/>
        <v>43.890410958904113</v>
      </c>
      <c r="N16" s="628">
        <v>44999</v>
      </c>
      <c r="O16" s="770">
        <v>590</v>
      </c>
      <c r="P16" s="770">
        <f t="shared" si="7"/>
        <v>71.93150684931507</v>
      </c>
    </row>
    <row r="17" spans="2:16" x14ac:dyDescent="0.2">
      <c r="B17" s="628">
        <v>45061</v>
      </c>
      <c r="C17" s="771">
        <v>515</v>
      </c>
      <c r="D17" s="771">
        <f t="shared" si="4"/>
        <v>0.70547945205479456</v>
      </c>
      <c r="F17" s="628">
        <v>44941</v>
      </c>
      <c r="G17" s="770">
        <v>305</v>
      </c>
      <c r="H17" s="770">
        <f t="shared" si="5"/>
        <v>37.184931506849317</v>
      </c>
      <c r="J17" s="628">
        <v>44972</v>
      </c>
      <c r="K17" s="770">
        <v>360</v>
      </c>
      <c r="L17" s="770">
        <f t="shared" si="6"/>
        <v>43.890410958904113</v>
      </c>
      <c r="N17" s="628">
        <v>45000</v>
      </c>
      <c r="O17" s="770">
        <v>590</v>
      </c>
      <c r="P17" s="770">
        <f t="shared" si="7"/>
        <v>71.93150684931507</v>
      </c>
    </row>
    <row r="18" spans="2:16" x14ac:dyDescent="0.2">
      <c r="B18" s="628">
        <v>45062</v>
      </c>
      <c r="C18" s="770">
        <v>540</v>
      </c>
      <c r="D18" s="771">
        <f t="shared" si="4"/>
        <v>0.73972602739726023</v>
      </c>
      <c r="F18" s="628">
        <v>44942</v>
      </c>
      <c r="G18" s="770">
        <v>305</v>
      </c>
      <c r="H18" s="770">
        <f t="shared" si="5"/>
        <v>37.184931506849317</v>
      </c>
      <c r="J18" s="628">
        <v>44973</v>
      </c>
      <c r="K18" s="770">
        <v>360</v>
      </c>
      <c r="L18" s="770">
        <f t="shared" si="6"/>
        <v>43.890410958904113</v>
      </c>
      <c r="N18" s="628">
        <v>45001</v>
      </c>
      <c r="O18" s="770">
        <v>590</v>
      </c>
      <c r="P18" s="770">
        <f t="shared" si="7"/>
        <v>71.93150684931507</v>
      </c>
    </row>
    <row r="19" spans="2:16" x14ac:dyDescent="0.2">
      <c r="B19" s="628">
        <v>45063</v>
      </c>
      <c r="C19" s="770">
        <v>545</v>
      </c>
      <c r="D19" s="771">
        <f t="shared" si="4"/>
        <v>0.74657534246575341</v>
      </c>
      <c r="F19" s="628">
        <v>44943</v>
      </c>
      <c r="G19" s="770">
        <v>310</v>
      </c>
      <c r="H19" s="770">
        <f t="shared" si="5"/>
        <v>37.794520547945204</v>
      </c>
      <c r="J19" s="628">
        <v>44974</v>
      </c>
      <c r="K19" s="770">
        <v>505</v>
      </c>
      <c r="L19" s="770">
        <f t="shared" si="6"/>
        <v>61.56849315068493</v>
      </c>
      <c r="N19" s="628">
        <v>45002</v>
      </c>
      <c r="O19" s="770">
        <v>590</v>
      </c>
      <c r="P19" s="770">
        <f t="shared" si="7"/>
        <v>71.93150684931507</v>
      </c>
    </row>
    <row r="20" spans="2:16" x14ac:dyDescent="0.2">
      <c r="B20" s="628">
        <v>45064</v>
      </c>
      <c r="C20" s="771">
        <v>545</v>
      </c>
      <c r="D20" s="771">
        <f>C20*1000*0.05%/365</f>
        <v>0.74657534246575341</v>
      </c>
      <c r="F20" s="628">
        <v>44944</v>
      </c>
      <c r="G20" s="770">
        <v>310</v>
      </c>
      <c r="H20" s="770">
        <f t="shared" si="5"/>
        <v>37.794520547945204</v>
      </c>
      <c r="J20" s="628">
        <v>44975</v>
      </c>
      <c r="K20" s="770">
        <v>505</v>
      </c>
      <c r="L20" s="770">
        <f t="shared" si="6"/>
        <v>61.56849315068493</v>
      </c>
      <c r="N20" s="628">
        <v>45003</v>
      </c>
      <c r="O20" s="770">
        <v>590</v>
      </c>
      <c r="P20" s="770">
        <f t="shared" si="7"/>
        <v>71.93150684931507</v>
      </c>
    </row>
    <row r="21" spans="2:16" x14ac:dyDescent="0.2">
      <c r="B21" s="628">
        <v>45065</v>
      </c>
      <c r="C21" s="770">
        <v>545.79999999999995</v>
      </c>
      <c r="D21" s="771">
        <f>C21*1000*0.05%/365</f>
        <v>0.74767123287671222</v>
      </c>
      <c r="F21" s="628">
        <v>44945</v>
      </c>
      <c r="G21" s="770">
        <v>310</v>
      </c>
      <c r="H21" s="770">
        <f t="shared" si="5"/>
        <v>37.794520547945204</v>
      </c>
      <c r="J21" s="628">
        <v>44976</v>
      </c>
      <c r="K21" s="770">
        <v>505</v>
      </c>
      <c r="L21" s="770">
        <f t="shared" si="6"/>
        <v>61.56849315068493</v>
      </c>
      <c r="N21" s="628">
        <v>45004</v>
      </c>
      <c r="O21" s="770">
        <v>590</v>
      </c>
      <c r="P21" s="770">
        <f t="shared" si="7"/>
        <v>71.93150684931507</v>
      </c>
    </row>
    <row r="22" spans="2:16" x14ac:dyDescent="0.2">
      <c r="B22" s="628">
        <v>45066</v>
      </c>
      <c r="C22" s="770">
        <v>545</v>
      </c>
      <c r="D22" s="771">
        <f t="shared" si="4"/>
        <v>0.74657534246575341</v>
      </c>
      <c r="F22" s="628">
        <v>44946</v>
      </c>
      <c r="G22" s="770">
        <v>310</v>
      </c>
      <c r="H22" s="770">
        <f t="shared" si="5"/>
        <v>37.794520547945204</v>
      </c>
      <c r="J22" s="628">
        <v>44977</v>
      </c>
      <c r="K22" s="770">
        <v>505</v>
      </c>
      <c r="L22" s="770">
        <f t="shared" si="6"/>
        <v>61.56849315068493</v>
      </c>
      <c r="N22" s="628">
        <v>45005</v>
      </c>
      <c r="O22" s="770">
        <v>590</v>
      </c>
      <c r="P22" s="770">
        <f t="shared" si="7"/>
        <v>71.93150684931507</v>
      </c>
    </row>
    <row r="23" spans="2:16" x14ac:dyDescent="0.2">
      <c r="B23" s="628">
        <v>45067</v>
      </c>
      <c r="C23" s="771">
        <v>545</v>
      </c>
      <c r="D23" s="771">
        <f t="shared" si="4"/>
        <v>0.74657534246575341</v>
      </c>
      <c r="F23" s="628">
        <v>44947</v>
      </c>
      <c r="G23" s="770">
        <v>310</v>
      </c>
      <c r="H23" s="770">
        <f t="shared" si="5"/>
        <v>37.794520547945204</v>
      </c>
      <c r="J23" s="628">
        <v>44978</v>
      </c>
      <c r="K23" s="770">
        <v>560</v>
      </c>
      <c r="L23" s="770">
        <f t="shared" si="6"/>
        <v>68.273972602739732</v>
      </c>
      <c r="N23" s="628">
        <v>45006</v>
      </c>
      <c r="O23" s="770">
        <v>590</v>
      </c>
      <c r="P23" s="770">
        <f t="shared" si="7"/>
        <v>71.93150684931507</v>
      </c>
    </row>
    <row r="24" spans="2:16" x14ac:dyDescent="0.2">
      <c r="B24" s="628">
        <v>45068</v>
      </c>
      <c r="C24" s="771">
        <v>545</v>
      </c>
      <c r="D24" s="771">
        <f t="shared" si="4"/>
        <v>0.74657534246575341</v>
      </c>
      <c r="F24" s="628">
        <v>44948</v>
      </c>
      <c r="G24" s="770">
        <v>310</v>
      </c>
      <c r="H24" s="770">
        <f t="shared" si="5"/>
        <v>37.794520547945204</v>
      </c>
      <c r="J24" s="628">
        <v>44979</v>
      </c>
      <c r="K24" s="770">
        <v>560</v>
      </c>
      <c r="L24" s="770">
        <f t="shared" si="6"/>
        <v>68.273972602739732</v>
      </c>
      <c r="N24" s="628">
        <v>45007</v>
      </c>
      <c r="O24" s="770">
        <v>590</v>
      </c>
      <c r="P24" s="770">
        <f t="shared" si="7"/>
        <v>71.93150684931507</v>
      </c>
    </row>
    <row r="25" spans="2:16" x14ac:dyDescent="0.2">
      <c r="B25" s="628">
        <v>45069</v>
      </c>
      <c r="C25" s="770">
        <v>545</v>
      </c>
      <c r="D25" s="771">
        <f t="shared" si="4"/>
        <v>0.74657534246575341</v>
      </c>
      <c r="F25" s="628">
        <v>44949</v>
      </c>
      <c r="G25" s="770">
        <v>310</v>
      </c>
      <c r="H25" s="770">
        <f t="shared" si="5"/>
        <v>37.794520547945204</v>
      </c>
      <c r="J25" s="628">
        <v>44980</v>
      </c>
      <c r="K25" s="770">
        <v>560</v>
      </c>
      <c r="L25" s="770">
        <f t="shared" si="6"/>
        <v>68.273972602739732</v>
      </c>
      <c r="N25" s="628">
        <v>45008</v>
      </c>
      <c r="O25" s="770">
        <v>590</v>
      </c>
      <c r="P25" s="770">
        <f t="shared" si="7"/>
        <v>71.93150684931507</v>
      </c>
    </row>
    <row r="26" spans="2:16" x14ac:dyDescent="0.2">
      <c r="B26" s="628">
        <v>45070</v>
      </c>
      <c r="C26" s="770"/>
      <c r="D26" s="771">
        <f t="shared" si="4"/>
        <v>0</v>
      </c>
      <c r="F26" s="628">
        <v>44950</v>
      </c>
      <c r="G26" s="770">
        <v>310</v>
      </c>
      <c r="H26" s="770">
        <f t="shared" si="5"/>
        <v>37.794520547945204</v>
      </c>
      <c r="J26" s="628">
        <v>44981</v>
      </c>
      <c r="K26" s="770">
        <v>560</v>
      </c>
      <c r="L26" s="770">
        <f t="shared" si="6"/>
        <v>68.273972602739732</v>
      </c>
      <c r="N26" s="628">
        <v>45009</v>
      </c>
      <c r="O26" s="770">
        <v>590</v>
      </c>
      <c r="P26" s="770">
        <f t="shared" si="7"/>
        <v>71.93150684931507</v>
      </c>
    </row>
    <row r="27" spans="2:16" x14ac:dyDescent="0.2">
      <c r="B27" s="628">
        <v>45071</v>
      </c>
      <c r="C27" s="770"/>
      <c r="D27" s="771">
        <f t="shared" si="4"/>
        <v>0</v>
      </c>
      <c r="F27" s="628">
        <v>44951</v>
      </c>
      <c r="G27" s="770">
        <v>310</v>
      </c>
      <c r="H27" s="770">
        <f t="shared" si="5"/>
        <v>37.794520547945204</v>
      </c>
      <c r="J27" s="628">
        <v>44982</v>
      </c>
      <c r="K27" s="770">
        <v>560</v>
      </c>
      <c r="L27" s="770">
        <f t="shared" si="6"/>
        <v>68.273972602739732</v>
      </c>
      <c r="N27" s="628">
        <v>45010</v>
      </c>
      <c r="O27" s="770">
        <v>590</v>
      </c>
      <c r="P27" s="770">
        <f t="shared" si="7"/>
        <v>71.93150684931507</v>
      </c>
    </row>
    <row r="28" spans="2:16" x14ac:dyDescent="0.2">
      <c r="B28" s="628">
        <v>45072</v>
      </c>
      <c r="C28" s="770"/>
      <c r="D28" s="771">
        <f t="shared" si="4"/>
        <v>0</v>
      </c>
      <c r="F28" s="628">
        <v>44952</v>
      </c>
      <c r="G28" s="770">
        <v>310</v>
      </c>
      <c r="H28" s="770">
        <f t="shared" si="5"/>
        <v>37.794520547945204</v>
      </c>
      <c r="J28" s="628">
        <v>44983</v>
      </c>
      <c r="K28" s="770">
        <v>560</v>
      </c>
      <c r="L28" s="770">
        <f t="shared" si="6"/>
        <v>68.273972602739732</v>
      </c>
      <c r="N28" s="628">
        <v>45011</v>
      </c>
      <c r="O28" s="770">
        <v>590</v>
      </c>
      <c r="P28" s="770">
        <f t="shared" si="7"/>
        <v>71.93150684931507</v>
      </c>
    </row>
    <row r="29" spans="2:16" x14ac:dyDescent="0.2">
      <c r="B29" s="628">
        <v>45073</v>
      </c>
      <c r="C29" s="770"/>
      <c r="D29" s="771">
        <f t="shared" si="4"/>
        <v>0</v>
      </c>
      <c r="F29" s="628">
        <v>44953</v>
      </c>
      <c r="G29" s="770">
        <v>310</v>
      </c>
      <c r="H29" s="770">
        <f t="shared" si="5"/>
        <v>37.794520547945204</v>
      </c>
      <c r="J29" s="628">
        <v>44984</v>
      </c>
      <c r="K29" s="770">
        <v>520</v>
      </c>
      <c r="L29" s="770">
        <f t="shared" si="6"/>
        <v>63.397260273972606</v>
      </c>
      <c r="N29" s="628">
        <v>45012</v>
      </c>
      <c r="O29" s="770">
        <v>595</v>
      </c>
      <c r="P29" s="770">
        <f t="shared" si="7"/>
        <v>72.541095890410958</v>
      </c>
    </row>
    <row r="30" spans="2:16" x14ac:dyDescent="0.2">
      <c r="B30" s="628">
        <v>45074</v>
      </c>
      <c r="C30" s="770"/>
      <c r="D30" s="771">
        <f t="shared" si="4"/>
        <v>0</v>
      </c>
      <c r="F30" s="628">
        <v>44954</v>
      </c>
      <c r="G30" s="770">
        <v>310</v>
      </c>
      <c r="H30" s="770">
        <f t="shared" si="5"/>
        <v>37.794520547945204</v>
      </c>
      <c r="J30" s="628">
        <v>44985</v>
      </c>
      <c r="K30" s="770">
        <v>590</v>
      </c>
      <c r="L30" s="770">
        <f t="shared" si="6"/>
        <v>71.93150684931507</v>
      </c>
      <c r="N30" s="628">
        <v>45013</v>
      </c>
      <c r="O30" s="770">
        <v>595</v>
      </c>
      <c r="P30" s="770">
        <f t="shared" si="7"/>
        <v>72.541095890410958</v>
      </c>
    </row>
    <row r="31" spans="2:16" x14ac:dyDescent="0.2">
      <c r="B31" s="628">
        <v>45075</v>
      </c>
      <c r="C31" s="770"/>
      <c r="D31" s="771">
        <f t="shared" si="4"/>
        <v>0</v>
      </c>
      <c r="F31" s="628">
        <v>44955</v>
      </c>
      <c r="G31" s="770">
        <v>310</v>
      </c>
      <c r="H31" s="770">
        <f t="shared" si="5"/>
        <v>37.794520547945204</v>
      </c>
      <c r="J31" s="628"/>
      <c r="N31" s="628">
        <v>45014</v>
      </c>
      <c r="O31" s="770">
        <v>595</v>
      </c>
      <c r="P31" s="770">
        <f t="shared" si="7"/>
        <v>72.541095890410958</v>
      </c>
    </row>
    <row r="32" spans="2:16" x14ac:dyDescent="0.2">
      <c r="B32" s="628">
        <v>45076</v>
      </c>
      <c r="C32" s="770"/>
      <c r="D32" s="771">
        <f t="shared" si="4"/>
        <v>0</v>
      </c>
      <c r="F32" s="628">
        <v>44956</v>
      </c>
      <c r="G32" s="770">
        <v>355</v>
      </c>
      <c r="H32" s="770">
        <f t="shared" si="5"/>
        <v>43.280821917808218</v>
      </c>
      <c r="J32" s="628"/>
      <c r="N32" s="628">
        <v>45015</v>
      </c>
      <c r="O32" s="770">
        <v>500</v>
      </c>
      <c r="P32" s="770">
        <f t="shared" si="7"/>
        <v>60.958904109589042</v>
      </c>
    </row>
    <row r="33" spans="2:16" x14ac:dyDescent="0.2">
      <c r="B33" s="628">
        <v>45077</v>
      </c>
      <c r="C33" s="770"/>
      <c r="D33" s="771">
        <f t="shared" si="4"/>
        <v>0</v>
      </c>
      <c r="F33" s="628">
        <v>44957</v>
      </c>
      <c r="G33" s="770">
        <v>355</v>
      </c>
      <c r="H33" s="770">
        <f t="shared" si="5"/>
        <v>43.280821917808218</v>
      </c>
      <c r="J33" s="628"/>
      <c r="N33" s="628">
        <v>45016</v>
      </c>
      <c r="O33" s="770">
        <v>250</v>
      </c>
      <c r="P33" s="770">
        <f t="shared" si="7"/>
        <v>30.479452054794521</v>
      </c>
    </row>
    <row r="35" spans="2:16" x14ac:dyDescent="0.2">
      <c r="D35">
        <f>SUM(D2:D33)</f>
        <v>15.418904109589041</v>
      </c>
      <c r="F35" s="770" t="s">
        <v>2843</v>
      </c>
      <c r="H35" s="770">
        <f>SUM(H2:H33)</f>
        <v>1167.3630136986305</v>
      </c>
      <c r="J35" s="770" t="s">
        <v>2845</v>
      </c>
      <c r="L35" s="770">
        <f>SUM(L2:L33)</f>
        <v>1493.4931506849321</v>
      </c>
      <c r="N35" s="770" t="s">
        <v>2844</v>
      </c>
      <c r="P35" s="770">
        <f>SUM(P2:P33)</f>
        <v>2179.2808219178091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intApr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2023-05-19T07:09:18Z</cp:lastPrinted>
  <dcterms:created xsi:type="dcterms:W3CDTF">1998-07-18T13:03:51Z</dcterms:created>
  <dcterms:modified xsi:type="dcterms:W3CDTF">2023-06-21T03:19:41Z</dcterms:modified>
</cp:coreProperties>
</file>