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DF9CE39-F310-4FA4-9CD5-AAEC96374483}" xr6:coauthVersionLast="38" xr6:coauthVersionMax="47" xr10:uidLastSave="{00000000-0000-0000-0000-000000000000}"/>
  <bookViews>
    <workbookView xWindow="22530" yWindow="13650" windowWidth="13875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J20" i="34" l="1"/>
  <c r="G20" i="34"/>
  <c r="LW35" i="32" l="1"/>
  <c r="LY3" i="32"/>
  <c r="LY18" i="32"/>
  <c r="LY2" i="32" s="1"/>
  <c r="LU30" i="32"/>
  <c r="LU2" i="32"/>
  <c r="LU26" i="32"/>
  <c r="LU27" i="32"/>
  <c r="LU33" i="32"/>
  <c r="LU28" i="32"/>
  <c r="LU29" i="32"/>
  <c r="LU32" i="32"/>
  <c r="LQ27" i="32"/>
  <c r="LY4" i="32" l="1"/>
  <c r="LU31" i="32"/>
  <c r="LW5" i="32"/>
  <c r="LQ37" i="32"/>
  <c r="LS18" i="32"/>
  <c r="G25" i="34" l="1"/>
  <c r="G21" i="34"/>
  <c r="G23" i="34"/>
  <c r="H6" i="34"/>
  <c r="H10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G42" i="34"/>
  <c r="J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<sst xmlns="http://schemas.openxmlformats.org/spreadsheetml/2006/main" count="8133" uniqueCount="3336">
  <si>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</si>
  <si>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</si>
  <si>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</si>
  <si>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</si>
  <si>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</si>
  <si>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</si>
  <si>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</si>
  <si>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</si>
  <si>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</si>
  <si>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</si>
  <si>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</si>
  <si>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</si>
  <si>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</si>
  <si>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</si>
  <si>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</si>
  <si>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</si>
  <si>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</si>
  <si>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</si>
  <si>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</si>
  <si>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</si>
  <si>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</si>
  <si>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</si>
  <si>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</si>
  <si>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</si>
  <si>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</si>
  <si>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</si>
  <si>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</si>
  <si>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</si>
  <si>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</si>
  <si>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</si>
  <si>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</si>
  <si>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</si>
  <si>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</si>
  <si>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</si>
  <si>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</si>
  <si>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</si>
  <si>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</si>
  <si>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</si>
  <si>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</si>
  <si>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</si>
  <si>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</si>
  <si>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</si>
  <si>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</si>
  <si>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</si>
  <si>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</si>
  <si>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</si>
  <si>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</si>
  <si>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</si>
  <si>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</si>
  <si>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</si>
  <si>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</si>
  <si>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</si>
  <si>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</si>
  <si>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</si>
  <si>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</si>
  <si>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</si>
  <si>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</si>
  <si>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</si>
  <si>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</si>
  <si>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</si>
  <si>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</si>
  <si>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</si>
  <si>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</si>
  <si>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</si>
  <si>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</si>
  <si>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</si>
  <si>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</si>
  <si>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</si>
  <si>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</si>
  <si>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</si>
  <si>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</si>
  <si>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</si>
  <si>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</si>
  <si>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</si>
  <si>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</si>
  <si>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</si>
  <si>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</si>
  <si>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</si>
  <si>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</si>
  <si>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</si>
  <si>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</si>
  <si>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</si>
  <si>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</si>
  <si>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</si>
  <si>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</si>
  <si>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</si>
  <si>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</si>
  <si>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</si>
  <si>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</si>
  <si>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</si>
  <si>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</si>
  <si>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</si>
  <si>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</si>
  <si>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</si>
  <si>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</si>
  <si>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</si>
  <si>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</si>
  <si>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</si>
  <si>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</si>
  <si>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</si>
  <si>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</si>
  <si>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</si>
  <si>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</si>
  <si>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</si>
  <si>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</si>
  <si>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</si>
  <si>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</si>
  <si>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</si>
  <si>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</si>
  <si>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</si>
  <si>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</si>
  <si>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</si>
  <si>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</si>
  <si>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</si>
  <si>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</si>
  <si>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</si>
  <si>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</si>
  <si>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</si>
  <si>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</si>
  <si>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</si>
  <si>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</si>
  <si>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</si>
  <si>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</si>
  <si>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</si>
  <si>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</si>
  <si>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</si>
  <si>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</si>
  <si>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</si>
  <si>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</si>
  <si>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</si>
  <si>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</si>
  <si>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</si>
  <si>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</si>
  <si>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</si>
  <si>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</si>
  <si>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</si>
  <si>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</si>
  <si>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</si>
  <si>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</si>
  <si>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</si>
  <si>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</si>
  <si>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</si>
  <si>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</si>
  <si>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</si>
  <si>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</si>
  <si>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</si>
  <si>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</si>
  <si>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</si>
  <si>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</si>
  <si>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</si>
  <si>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</si>
  <si>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</si>
  <si>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</si>
  <si>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</si>
  <si>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</si>
  <si>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</si>
  <si>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</si>
  <si>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</si>
  <si>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</si>
  <si>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</si>
  <si>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</si>
  <si>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</si>
  <si>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</si>
  <si>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</si>
  <si>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</si>
  <si>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</si>
  <si>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</si>
  <si>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</si>
  <si>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</si>
  <si>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</si>
  <si>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</si>
  <si>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</si>
  <si>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</si>
  <si>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</si>
  <si>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</si>
  <si>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</si>
  <si>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</si>
  <si>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</si>
  <si>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</si>
  <si>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</si>
  <si>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</si>
  <si>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</si>
  <si>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</si>
  <si>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</si>
  <si>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</si>
  <si>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</si>
  <si>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</si>
  <si>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</si>
  <si>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</si>
  <si>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</si>
  <si>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</si>
  <si>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</si>
  <si>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</si>
  <si>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</si>
  <si>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</si>
  <si>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</si>
  <si>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</si>
  <si>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</si>
  <si>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</si>
  <si>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</si>
  <si>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</si>
  <si>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</si>
  <si>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</si>
  <si>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</si>
  <si>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</si>
  <si>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</si>
  <si>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</si>
  <si>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</si>
  <si>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</si>
  <si>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</si>
  <si>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</si>
  <si>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</si>
  <si>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</si>
  <si>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</si>
  <si>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</si>
  <si>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</si>
  <si>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</si>
  <si>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</si>
  <si>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</si>
  <si>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</si>
  <si>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</si>
  <si>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</si>
  <si>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</si>
  <si>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</si>
  <si>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</si>
  <si>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</si>
  <si>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</si>
  <si>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</si>
  <si>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</si>
  <si>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</si>
  <si>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</si>
  <si>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</si>
  <si>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</si>
  <si>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</si>
  <si>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</si>
  <si>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</si>
  <si>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</si>
  <si>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</si>
  <si>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</si>
  <si>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</si>
  <si>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</si>
  <si>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</si>
  <si>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</si>
  <si>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</si>
  <si>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</si>
  <si>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</si>
  <si>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</si>
  <si>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</si>
  <si>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</si>
  <si>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</si>
  <si>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</si>
  <si>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</si>
  <si>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</si>
  <si>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</si>
  <si>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</si>
  <si>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</si>
  <si>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</si>
  <si>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</si>
  <si>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</si>
  <si>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</si>
  <si>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</si>
  <si>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</si>
  <si>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</si>
  <si>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</si>
  <si>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</si>
  <si>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</si>
  <si>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</si>
  <si>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</si>
  <si>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</si>
  <si>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</si>
  <si>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</si>
  <si>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</si>
  <si>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</si>
  <si>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</si>
  <si>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</si>
  <si>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</si>
  <si>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</si>
  <si>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</si>
  <si>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</si>
  <si>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</si>
  <si>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</si>
  <si>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</si>
  <si>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</si>
  <si>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</si>
  <si>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</si>
  <si>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</si>
  <si>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</si>
  <si>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</si>
  <si>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</si>
  <si>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</si>
  <si>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</si>
  <si>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</si>
  <si>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</si>
  <si>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</si>
  <si>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</si>
  <si>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</si>
  <si>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</si>
  <si>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</si>
  <si>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</si>
  <si>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</si>
  <si>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</si>
  <si>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</si>
  <si>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</si>
  <si>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</si>
  <si>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</si>
  <si>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</si>
  <si>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</si>
  <si>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</si>
  <si>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</si>
  <si>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</si>
  <si>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</si>
  <si>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</si>
  <si>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</si>
  <si>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</si>
  <si>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</si>
  <si>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</si>
  <si>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</si>
  <si>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</si>
  <si>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</si>
  <si>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</si>
  <si>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</si>
  <si>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</si>
  <si>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</si>
  <si>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</si>
  <si>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</si>
  <si>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</si>
  <si>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</si>
  <si>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</si>
  <si>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</si>
  <si>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</si>
  <si>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</si>
  <si>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</si>
  <si>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</si>
  <si>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</si>
  <si>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</si>
  <si>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</si>
  <si>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</si>
  <si>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</si>
  <si>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</si>
  <si>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</si>
  <si>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</si>
  <si>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</si>
  <si>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</si>
  <si>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</si>
  <si>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</si>
  <si>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</si>
  <si>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</si>
  <si>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</si>
  <si>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</si>
  <si>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</si>
  <si>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</si>
  <si>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</si>
  <si>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</si>
  <si>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</si>
  <si>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</si>
  <si>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</si>
  <si>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</si>
  <si>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</si>
  <si>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</si>
  <si>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</si>
  <si>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</si>
  <si>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</si>
  <si>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</si>
  <si>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</si>
  <si>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</si>
  <si>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</si>
  <si>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</si>
  <si>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</si>
  <si>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</si>
  <si>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</si>
  <si>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</si>
  <si>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</si>
  <si>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</si>
  <si>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</si>
  <si>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</si>
  <si>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</si>
  <si>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</si>
  <si>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</si>
  <si>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</si>
  <si>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</si>
  <si>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</si>
  <si>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</si>
  <si>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</si>
  <si>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</si>
  <si>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</si>
  <si>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</si>
  <si>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</si>
  <si>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</si>
  <si>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</si>
  <si>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</si>
  <si>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</si>
  <si>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</si>
  <si>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</si>
  <si>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</si>
  <si>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</si>
  <si>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</si>
  <si>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</si>
  <si>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</si>
  <si>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</si>
  <si>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</si>
  <si>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</si>
  <si>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</si>
  <si>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</si>
  <si>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</si>
  <si>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</si>
  <si>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</si>
  <si>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</si>
  <si>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</si>
  <si>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</si>
  <si>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</si>
  <si>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</si>
  <si>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</si>
  <si>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</si>
  <si>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</si>
  <si>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</si>
  <si>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</si>
  <si>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</si>
  <si>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</si>
  <si>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</si>
  <si>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</si>
  <si>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</si>
  <si>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</si>
  <si>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</si>
  <si>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</si>
  <si>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</si>
  <si>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</si>
  <si>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</si>
  <si>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</si>
  <si>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</si>
  <si>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</si>
  <si>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</si>
  <si>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</si>
  <si>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</si>
  <si>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</si>
  <si>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</si>
  <si>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</si>
  <si>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</si>
  <si>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</si>
  <si>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</si>
  <si>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</si>
  <si>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</si>
  <si>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</si>
  <si>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</si>
  <si>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</si>
  <si>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</si>
  <si>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</si>
  <si>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</si>
  <si>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</si>
  <si>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</si>
  <si>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</si>
  <si>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</si>
  <si>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</si>
  <si>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</si>
  <si>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</si>
  <si>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</si>
  <si>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</si>
  <si>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</si>
  <si>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</si>
  <si>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</si>
  <si>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</si>
  <si>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</si>
  <si>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</si>
  <si>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</si>
  <si>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</si>
  <si>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</si>
  <si>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</si>
  <si>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</si>
  <si>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</si>
  <si>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</si>
  <si>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</si>
  <si>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</si>
  <si>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</si>
  <si>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</si>
  <si>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</si>
  <si>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</si>
  <si>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</si>
  <si>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</si>
  <si>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</si>
  <si>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</si>
  <si>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</si>
  <si>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</si>
  <si>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</si>
  <si>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</si>
  <si>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</si>
  <si>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</si>
  <si>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</si>
  <si>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</si>
  <si>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</si>
  <si>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</si>
  <si>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</si>
  <si>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</si>
  <si>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</si>
  <si>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</si>
  <si>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</si>
  <si>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</si>
  <si>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</si>
  <si>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</si>
  <si>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</si>
  <si>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</si>
  <si>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</si>
  <si>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</si>
  <si>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</si>
  <si>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</si>
  <si>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</si>
  <si>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</si>
  <si>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</si>
  <si>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</si>
  <si>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</si>
  <si>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</si>
  <si>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</si>
  <si>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</si>
  <si>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</si>
  <si>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</si>
  <si>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</si>
  <si>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</si>
  <si>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</si>
  <si>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</si>
  <si>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</si>
  <si>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</si>
  <si>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</si>
  <si>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</si>
  <si>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</si>
  <si>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</si>
  <si>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</si>
  <si>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</si>
  <si>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</si>
  <si>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</si>
  <si>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</si>
  <si>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</si>
  <si>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</si>
  <si>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</si>
  <si>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</si>
  <si>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</si>
  <si>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</si>
  <si>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</si>
  <si>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</si>
  <si>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</si>
  <si>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</si>
  <si>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</si>
  <si>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</si>
  <si>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</si>
  <si>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</si>
  <si>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</si>
  <si>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</si>
  <si>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</si>
  <si>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</si>
  <si>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</si>
  <si>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</si>
  <si>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</si>
  <si>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</si>
  <si>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</si>
  <si>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</si>
  <si>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</si>
  <si>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</si>
  <si>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</si>
  <si>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</si>
  <si>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</si>
  <si>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</si>
  <si>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</si>
  <si>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</si>
  <si>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</si>
  <si>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</si>
  <si>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</si>
  <si>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</si>
  <si>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</si>
  <si>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</si>
  <si>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</si>
  <si>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</si>
  <si>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</si>
  <si>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</si>
  <si>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</si>
  <si>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</si>
  <si>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</si>
  <si>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</si>
  <si>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</si>
  <si>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</si>
  <si>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</si>
  <si>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</si>
  <si>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</si>
  <si>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</si>
  <si>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</si>
  <si>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</si>
  <si>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</si>
  <si>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</si>
  <si>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</si>
  <si>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</si>
  <si>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</si>
  <si>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</si>
  <si>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</si>
  <si>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</si>
  <si>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</si>
  <si>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</si>
  <si>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</si>
  <si>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</si>
  <si>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</si>
  <si>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</si>
  <si>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</si>
  <si>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</si>
  <si>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</si>
  <si>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</si>
  <si>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</si>
  <si>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</si>
  <si>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</si>
  <si>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</si>
  <si>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</si>
  <si>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</si>
  <si>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</si>
  <si>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</si>
  <si>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</si>
  <si>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</si>
  <si>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</si>
  <si>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</si>
  <si>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</si>
  <si>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</si>
  <si>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</si>
  <si>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</si>
  <si>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</si>
  <si>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</si>
  <si>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</si>
  <si>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</si>
  <si>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</si>
  <si>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</si>
  <si>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</si>
  <si>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</si>
  <si>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</si>
  <si>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</si>
  <si>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</si>
  <si>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</si>
  <si>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</si>
  <si>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</si>
  <si>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</si>
  <si>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</si>
  <si>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</si>
  <si>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</si>
  <si>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</si>
  <si>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</si>
  <si>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</si>
  <si>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</si>
  <si>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</si>
  <si>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</si>
  <si>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</si>
  <si>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</si>
  <si>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</si>
  <si>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</si>
  <si>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</si>
  <si>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</si>
  <si>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</si>
  <si>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</si>
  <si>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</si>
  <si>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</si>
  <si>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</si>
  <si>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</si>
  <si>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</si>
  <si>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</si>
  <si>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</si>
  <si>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</si>
  <si>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</si>
  <si>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</si>
  <si>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</si>
  <si>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</si>
  <si>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</si>
  <si>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</si>
  <si>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</si>
  <si>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</si>
  <si>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</si>
  <si>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</si>
  <si>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</si>
  <si>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</si>
  <si>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</si>
  <si>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</si>
  <si>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</si>
  <si>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</si>
  <si>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</si>
  <si>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</si>
  <si>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</si>
  <si>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</si>
  <si>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</si>
  <si>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</si>
  <si>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</si>
  <si>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</si>
  <si>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</si>
  <si>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</si>
  <si>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</si>
  <si>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</si>
  <si>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</si>
  <si>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</si>
  <si>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</si>
  <si>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</si>
  <si>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</si>
  <si>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</si>
  <si>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</si>
  <si>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</si>
  <si>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</si>
  <si>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</si>
  <si>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</si>
  <si>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</si>
  <si>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</si>
  <si>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</si>
  <si>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</si>
  <si>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</si>
  <si>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</si>
  <si>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</si>
  <si>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</si>
  <si>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</si>
  <si>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</si>
  <si>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</si>
  <si>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</si>
  <si>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</si>
  <si>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</si>
  <si>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</si>
  <si>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</si>
  <si>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</si>
  <si>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</si>
  <si>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</si>
  <si>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</si>
  <si>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</si>
  <si>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</si>
  <si>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</si>
  <si>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</si>
  <si>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</si>
  <si>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</si>
  <si>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</si>
  <si>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</si>
  <si>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</si>
  <si>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</si>
  <si>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</si>
  <si>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</si>
  <si>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</si>
  <si>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</si>
  <si>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</si>
  <si>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</si>
  <si>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</si>
  <si>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</si>
  <si>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</si>
  <si>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</si>
  <si>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</si>
  <si>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</si>
  <si>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</si>
  <si>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</si>
  <si>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</si>
  <si>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</si>
  <si>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</si>
  <si>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</si>
  <si>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</si>
  <si>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</si>
  <si>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</si>
  <si>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</si>
  <si>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</si>
  <si>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</si>
  <si>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</si>
  <si>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</si>
  <si>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</si>
  <si>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</si>
  <si>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</si>
  <si>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</si>
  <si>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</si>
  <si>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</si>
  <si>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</si>
  <si>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</si>
  <si>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</si>
  <si>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</si>
  <si>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</si>
  <si>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</si>
  <si>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</si>
  <si>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</si>
  <si>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</si>
  <si>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</si>
  <si>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</si>
  <si>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</si>
  <si>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</si>
  <si>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</si>
  <si>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</si>
  <si>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</si>
  <si>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</si>
  <si>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</si>
  <si>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</si>
  <si>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</si>
  <si>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</si>
  <si>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</si>
  <si>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</si>
  <si>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</si>
  <si>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</si>
  <si>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</si>
  <si>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</si>
  <si>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</si>
  <si>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</si>
  <si>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</si>
  <si>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</si>
  <si>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</si>
  <si>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</si>
  <si>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</si>
  <si>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</si>
  <si>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</si>
  <si>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</si>
  <si>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</si>
  <si>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</si>
  <si>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</si>
  <si>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</si>
  <si>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</si>
  <si>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</si>
  <si>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</si>
  <si>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</si>
  <si>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</si>
  <si>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</si>
  <si>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</si>
  <si>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</si>
  <si>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</si>
  <si>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</si>
  <si>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</si>
  <si>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</si>
  <si>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</si>
  <si>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</si>
  <si>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</si>
  <si>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</si>
  <si>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</si>
  <si>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</si>
  <si>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</si>
  <si>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</si>
  <si>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</si>
  <si>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</si>
  <si>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</si>
  <si>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</si>
  <si>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</si>
  <si>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</si>
  <si>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</si>
  <si>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</si>
  <si>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</si>
  <si>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</si>
  <si>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</si>
  <si>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</si>
  <si>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</si>
  <si>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</si>
  <si>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</si>
  <si>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</si>
  <si>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</si>
  <si>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</si>
  <si>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</si>
  <si>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</si>
  <si>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</si>
  <si>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</si>
  <si>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</si>
  <si>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</si>
  <si>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</si>
  <si>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</si>
  <si>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</si>
  <si>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</si>
  <si>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</si>
  <si>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</si>
  <si>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</si>
  <si>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</si>
  <si>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</si>
  <si>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</si>
  <si>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</si>
  <si>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</si>
  <si>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</si>
  <si>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</si>
  <si>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</si>
  <si>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</si>
  <si>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</si>
  <si>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</si>
  <si>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</si>
  <si>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</si>
  <si>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</si>
  <si>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</si>
  <si>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</si>
  <si>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</si>
  <si>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</si>
  <si>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</si>
  <si>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</si>
  <si>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</si>
  <si>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</si>
  <si>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</si>
  <si>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</si>
  <si>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</si>
  <si>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</si>
  <si>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</si>
  <si>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</si>
  <si>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</si>
  <si>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</si>
  <si>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</si>
  <si>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</si>
  <si>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</si>
  <si>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</si>
  <si>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</si>
  <si>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</si>
  <si>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</si>
  <si>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</si>
  <si>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</si>
  <si>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</si>
  <si>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</si>
  <si>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</si>
  <si>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</si>
  <si>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</si>
  <si>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</si>
  <si>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</si>
  <si>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</si>
  <si>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</si>
  <si>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</si>
  <si>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</si>
  <si>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</si>
  <si>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</si>
  <si>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</si>
  <si>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</si>
  <si>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</si>
  <si>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</si>
  <si>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</si>
  <si>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</si>
  <si>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</si>
  <si>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</si>
  <si>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</si>
  <si>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</si>
  <si>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</si>
  <si>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</si>
  <si>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</si>
  <si>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</si>
  <si>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</si>
  <si>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</si>
  <si>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</si>
  <si>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</si>
  <si>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</si>
  <si>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</si>
  <si>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</si>
  <si>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</si>
  <si>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</si>
  <si>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</si>
  <si>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</si>
  <si>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</si>
  <si>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</si>
  <si>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</si>
  <si>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</si>
  <si>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</si>
  <si>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</si>
  <si>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</si>
  <si>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</si>
  <si>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</si>
  <si>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</si>
  <si>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</si>
  <si>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</si>
  <si>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</si>
  <si>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</si>
  <si>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</si>
  <si>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</si>
  <si>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</si>
  <si>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</si>
  <si>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</si>
  <si>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</si>
  <si>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</si>
  <si>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</si>
  <si>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</si>
  <si>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</si>
  <si>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</si>
  <si>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</si>
  <si>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</si>
  <si>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</si>
  <si>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</si>
  <si>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</si>
  <si>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</si>
  <si>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</si>
  <si>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</si>
  <si>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</si>
  <si>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</si>
  <si>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</si>
  <si>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</si>
  <si>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</si>
  <si>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</si>
  <si>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</si>
  <si>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</si>
  <si>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</si>
  <si>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</si>
  <si>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</si>
  <si>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</si>
  <si>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</si>
  <si>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</si>
  <si>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</si>
  <si>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</si>
  <si>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</si>
  <si>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</si>
  <si>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</si>
  <si>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</si>
  <si>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</si>
  <si>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</si>
  <si>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</si>
  <si>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</si>
  <si>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</si>
  <si>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</si>
  <si>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</si>
  <si>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</si>
  <si>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</si>
  <si>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</si>
  <si>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</si>
  <si>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</si>
  <si>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</si>
  <si>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</si>
  <si>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</si>
  <si>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</si>
  <si>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</si>
  <si>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</si>
  <si>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</si>
  <si>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</si>
  <si>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</si>
  <si>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</si>
  <si>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</si>
  <si>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</si>
  <si>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</si>
  <si>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</si>
  <si>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</si>
  <si>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</si>
  <si>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</si>
  <si>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</si>
  <si>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</si>
  <si>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</si>
  <si>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</si>
  <si>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</si>
  <si>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</si>
  <si>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</si>
  <si>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</si>
  <si>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</si>
  <si>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</si>
  <si>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</si>
  <si>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</si>
  <si>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</si>
  <si>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</si>
  <si>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</si>
  <si>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</si>
  <si>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</si>
  <si>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</si>
  <si>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</si>
  <si>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</si>
  <si>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</si>
  <si>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</si>
  <si>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</si>
  <si>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</si>
  <si>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</si>
  <si>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</si>
  <si>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</si>
  <si>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</si>
  <si>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</si>
  <si>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</si>
  <si>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</si>
  <si>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</si>
  <si>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</si>
  <si>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</si>
  <si>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</si>
  <si>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</si>
  <si>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</si>
  <si>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</si>
  <si>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</si>
  <si>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</si>
  <si>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</si>
  <si>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</si>
  <si>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</si>
  <si>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</si>
  <si>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</si>
  <si>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</si>
  <si>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</si>
  <si>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</si>
  <si>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</si>
  <si>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</si>
  <si>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</si>
  <si>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</si>
  <si>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</si>
  <si>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</si>
  <si>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</si>
  <si>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</si>
  <si>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</si>
  <si>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</si>
  <si>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</si>
  <si>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</si>
  <si>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</si>
  <si>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</si>
  <si>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</si>
  <si>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</si>
  <si>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</si>
  <si>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</si>
  <si>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</si>
  <si>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</si>
  <si>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</si>
  <si>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</si>
  <si>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</si>
  <si>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</si>
  <si>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</si>
  <si>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</si>
  <si>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</si>
  <si>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</si>
  <si>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</si>
  <si>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</si>
  <si>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</si>
  <si>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</si>
  <si>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</si>
  <si>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</si>
  <si>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</si>
  <si>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</si>
  <si>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</si>
  <si>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</si>
  <si>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</si>
  <si>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</si>
  <si>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</si>
  <si>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</si>
  <si>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</si>
  <si>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</si>
  <si>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</si>
  <si>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</si>
  <si>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</si>
  <si>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</si>
  <si>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</si>
  <si>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</si>
  <si>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</si>
  <si>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</si>
  <si>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</si>
  <si>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</si>
  <si>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</si>
  <si>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</si>
  <si>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</si>
  <si>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</si>
  <si>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</si>
  <si>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</si>
  <si>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</si>
  <si>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</si>
  <si>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</si>
  <si>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</si>
  <si>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</si>
  <si>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</si>
  <si>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</si>
  <si>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</si>
  <si>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</si>
  <si>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</si>
  <si>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</si>
  <si>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</si>
  <si>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</si>
  <si>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</si>
  <si>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</si>
  <si>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</si>
  <si>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</si>
  <si>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</si>
  <si>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</si>
  <si>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</si>
  <si>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</si>
  <si>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</si>
  <si>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</si>
  <si>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</si>
  <si>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</si>
  <si>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</si>
  <si>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</si>
  <si>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</si>
  <si>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</si>
  <si>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</si>
  <si>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</si>
  <si>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</si>
  <si>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</si>
  <si>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</si>
  <si>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</si>
  <si>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</si>
  <si>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</si>
  <si>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</si>
  <si>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</si>
  <si>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</si>
  <si>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</si>
  <si>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</si>
  <si>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</si>
  <si>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</si>
  <si>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</si>
  <si>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</si>
  <si>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</si>
  <si>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</si>
  <si>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</si>
  <si>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</si>
  <si>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</si>
  <si>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</si>
  <si>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</si>
  <si>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</si>
  <si>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</si>
  <si>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</si>
  <si>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</si>
  <si>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</si>
  <si>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</si>
  <si>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</si>
  <si>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</si>
  <si>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</si>
  <si>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</si>
  <si>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</si>
  <si>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</si>
  <si>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</si>
  <si>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</si>
  <si>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</si>
  <si>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</si>
  <si>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</si>
  <si>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</si>
  <si>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</si>
  <si>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</si>
  <si>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</si>
  <si>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</si>
  <si>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</si>
  <si>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</si>
  <si>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</si>
  <si>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</si>
  <si>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</si>
  <si>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</si>
  <si>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</si>
  <si>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</si>
  <si>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</si>
  <si>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</si>
  <si>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</si>
  <si>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</si>
  <si>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</si>
  <si>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</si>
  <si>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</si>
  <si>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</si>
  <si>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</si>
  <si>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</si>
  <si>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</si>
  <si>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</si>
  <si>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</si>
  <si>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</si>
  <si>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</si>
  <si>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</si>
  <si>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</si>
  <si>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</si>
  <si>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</si>
  <si>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</si>
  <si>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</si>
  <si>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</si>
  <si>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</si>
  <si>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</si>
  <si>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</si>
  <si>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</si>
  <si>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</si>
  <si>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</si>
  <si>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</si>
  <si>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</si>
  <si>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</si>
  <si>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</si>
  <si>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</si>
  <si>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</si>
  <si>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</si>
  <si>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</si>
  <si>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</si>
  <si>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</si>
  <si>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</si>
  <si>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</si>
  <si>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</si>
  <si>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</si>
  <si>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</si>
  <si>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</si>
  <si>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</si>
  <si>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</si>
  <si>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</si>
  <si>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</si>
  <si>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</si>
  <si>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</si>
  <si>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</si>
  <si>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</si>
  <si>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</si>
  <si>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</si>
  <si>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</si>
  <si>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</si>
  <si>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</si>
  <si>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</si>
  <si>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</si>
  <si>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</si>
  <si>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</si>
  <si>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</si>
  <si>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</si>
  <si>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</si>
  <si>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</si>
  <si>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</si>
  <si>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</si>
  <si>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</si>
  <si>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</si>
  <si>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</si>
  <si>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</si>
  <si>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</si>
  <si>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</si>
  <si>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</si>
  <si>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</si>
  <si>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</si>
  <si>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</si>
  <si>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</si>
  <si>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</si>
  <si>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</si>
  <si>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</si>
  <si>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</si>
  <si>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</si>
  <si>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</si>
  <si>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</si>
  <si>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</si>
  <si>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</si>
  <si>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</si>
  <si>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</si>
  <si>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</si>
  <si>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</si>
  <si>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</si>
  <si>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</si>
  <si>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</si>
  <si>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</si>
  <si>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</si>
  <si>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</si>
  <si>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</si>
  <si>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</si>
  <si>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</si>
  <si>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</si>
  <si>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</si>
  <si>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</si>
  <si>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</si>
  <si>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</si>
  <si>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</si>
  <si>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</si>
  <si>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</si>
  <si>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</si>
  <si>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</si>
  <si>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</si>
  <si>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</si>
  <si>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</si>
  <si>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</si>
  <si>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</si>
  <si>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</si>
  <si>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</si>
  <si>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</si>
  <si>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</si>
  <si>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</si>
  <si>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</si>
  <si>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</si>
  <si>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</si>
  <si>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</si>
  <si>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</si>
  <si>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</si>
  <si>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</si>
  <si>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</si>
  <si>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</si>
  <si>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</si>
  <si>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</si>
  <si>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</si>
  <si>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</si>
  <si>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</si>
  <si>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</si>
  <si>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</si>
  <si>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</si>
  <si>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</si>
  <si>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</si>
  <si>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</si>
  <si>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</si>
  <si>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</si>
  <si>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</si>
  <si>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</si>
  <si>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</si>
  <si>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</si>
  <si>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</si>
  <si>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</si>
  <si>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</si>
  <si>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</si>
  <si>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</si>
  <si>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</si>
  <si>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</si>
  <si>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</si>
  <si>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</si>
  <si>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</si>
  <si>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</si>
  <si>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</si>
  <si>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</si>
  <si>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</si>
  <si>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</si>
  <si>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</si>
  <si>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</si>
  <si>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</si>
  <si>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</si>
  <si>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</si>
  <si>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</si>
  <si>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</si>
  <si>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</si>
  <si>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</si>
  <si>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</si>
  <si>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</si>
  <si>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</si>
  <si>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</si>
  <si>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</si>
  <si>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</si>
  <si>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</si>
  <si>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</si>
  <si>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</si>
  <si>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</si>
  <si>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</si>
  <si>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</si>
  <si>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</si>
  <si>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</si>
  <si>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</si>
  <si>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</si>
  <si>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</si>
  <si>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</si>
  <si>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</si>
  <si>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</si>
  <si>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</si>
  <si>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</si>
  <si>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</si>
  <si>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</si>
  <si>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</si>
  <si>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</si>
  <si>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</si>
  <si>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</si>
  <si>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</si>
  <si>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</si>
  <si>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</si>
  <si>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</si>
  <si>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</si>
  <si>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</si>
  <si>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</si>
  <si>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</si>
  <si>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</si>
  <si>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</si>
  <si>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</si>
  <si>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</si>
  <si>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</si>
  <si>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</si>
  <si>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</si>
  <si>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</si>
  <si>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</si>
  <si>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</si>
  <si>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</si>
  <si>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</si>
  <si>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</si>
  <si>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</si>
  <si>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</si>
  <si>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</si>
  <si>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</si>
  <si>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</si>
  <si>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</si>
  <si>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</si>
  <si>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</si>
  <si>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</si>
  <si>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</si>
  <si>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</si>
  <si>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</si>
  <si>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</si>
  <si>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</si>
  <si>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</si>
  <si>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</si>
  <si>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</si>
  <si>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</si>
  <si>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</si>
  <si>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</si>
  <si>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</si>
  <si>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</si>
  <si>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</si>
  <si>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</si>
  <si>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</si>
  <si>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</si>
  <si>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</si>
  <si>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</si>
  <si>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</si>
  <si>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</si>
  <si>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</si>
  <si>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</si>
  <si>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</si>
  <si>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</si>
  <si>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</si>
  <si>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</si>
  <si>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</si>
  <si>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</si>
  <si>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</si>
  <si>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</si>
  <si>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</si>
  <si>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</si>
  <si>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</si>
  <si>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</si>
  <si>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</si>
  <si>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</si>
  <si>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</si>
  <si>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</si>
  <si>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</si>
  <si>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</si>
  <si>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</si>
  <si>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</si>
  <si>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</si>
  <si>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</si>
  <si>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</si>
  <si>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</si>
  <si>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</si>
  <si>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</si>
  <si>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</si>
  <si>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</si>
  <si>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</si>
  <si>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</si>
  <si>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</si>
  <si>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</si>
  <si>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</si>
  <si>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</si>
  <si>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</si>
  <si>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</si>
  <si>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</si>
  <si>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</si>
  <si>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</si>
  <si>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</si>
  <si>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</si>
  <si>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</si>
  <si>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</si>
  <si>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</si>
  <si>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</si>
  <si>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</si>
  <si>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</si>
  <si>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</si>
  <si>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</si>
  <si>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</si>
  <si>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</si>
  <si>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</si>
  <si>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</si>
  <si>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</si>
  <si>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</si>
  <si>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</si>
  <si>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</si>
  <si>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</si>
  <si>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</si>
  <si>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</si>
  <si>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</si>
  <si>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</si>
  <si>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</si>
  <si>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</si>
  <si>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</si>
  <si>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</si>
  <si>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</si>
  <si>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</si>
  <si>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</si>
  <si>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</si>
  <si>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</si>
  <si>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</si>
  <si>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</si>
  <si>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</si>
  <si>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</si>
  <si>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</si>
  <si>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</si>
  <si>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</si>
  <si>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</si>
  <si>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</si>
  <si>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</si>
  <si>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</si>
  <si>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</si>
  <si>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</si>
  <si>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</si>
  <si>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</si>
  <si>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</si>
  <si>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</si>
  <si>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</si>
  <si>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</si>
  <si>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</si>
  <si>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</si>
  <si>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</si>
  <si>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</si>
  <si>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</si>
  <si>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</si>
  <si>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</si>
  <si>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</si>
  <si>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</si>
  <si>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</si>
  <si>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</si>
  <si>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</si>
  <si>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</si>
  <si>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</si>
  <si>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</si>
  <si>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</si>
  <si>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</si>
  <si>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</si>
  <si>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</si>
  <si>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</si>
  <si>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</si>
  <si>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</si>
  <si>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</si>
  <si>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</si>
  <si>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</si>
  <si>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</si>
  <si>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</si>
  <si>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</si>
  <si>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</si>
  <si>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</si>
  <si>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</si>
  <si>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</si>
  <si>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</si>
  <si>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</si>
  <si>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</si>
  <si>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</si>
  <si>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</si>
  <si>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</si>
  <si>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</si>
  <si>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</si>
  <si>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</si>
  <si>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</si>
  <si>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</si>
  <si>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</si>
  <si>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</si>
  <si>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</si>
  <si>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</si>
  <si>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</si>
  <si>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</si>
  <si>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</si>
  <si>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</si>
  <si>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</si>
  <si>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</si>
  <si>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</si>
  <si>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</si>
  <si>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</si>
  <si>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</si>
  <si>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</si>
  <si>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</si>
  <si>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</si>
  <si>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</si>
  <si>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</si>
  <si>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</si>
  <si>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</si>
  <si>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</si>
  <si>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</si>
  <si>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</si>
  <si>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</si>
  <si>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</si>
  <si>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</si>
  <si>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</si>
  <si>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</si>
  <si>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</si>
  <si>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</si>
  <si>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</si>
  <si>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</si>
  <si>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</si>
  <si>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</si>
  <si>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</si>
  <si>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</si>
  <si>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</si>
  <si>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</si>
  <si>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</si>
  <si>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</si>
  <si>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</si>
  <si>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</si>
  <si>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</si>
  <si>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</si>
  <si>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</si>
  <si>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</si>
  <si>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</si>
  <si>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</si>
  <si>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</si>
  <si>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</si>
  <si>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</si>
  <si>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</si>
  <si>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</si>
  <si>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</si>
  <si>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</si>
  <si>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</si>
  <si>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</si>
  <si>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</si>
  <si>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</si>
  <si>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</si>
  <si>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</si>
  <si>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</si>
  <si>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</si>
  <si>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</si>
  <si>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</si>
  <si>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</si>
  <si>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</si>
  <si>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</si>
  <si>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</si>
  <si>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</si>
  <si>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</si>
  <si>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</si>
  <si>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</si>
  <si>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</si>
  <si>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</si>
  <si>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</si>
  <si>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</si>
  <si>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</si>
  <si>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</si>
  <si>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</si>
  <si>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</si>
  <si>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</si>
  <si>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</si>
  <si>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</si>
  <si>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</si>
  <si>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</si>
  <si>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</si>
  <si>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</si>
  <si>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</si>
  <si>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</si>
  <si>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</si>
  <si>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</si>
  <si>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</si>
  <si>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</si>
  <si>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</si>
  <si>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</si>
  <si>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</si>
  <si>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</si>
  <si>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</si>
  <si>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</si>
  <si>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</si>
  <si>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</si>
  <si>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</si>
  <si>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</si>
  <si>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</si>
  <si>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</si>
  <si>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</si>
  <si>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</si>
  <si>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</si>
  <si>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</si>
  <si>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</si>
  <si>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</si>
  <si>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</si>
  <si>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</si>
  <si>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</si>
  <si>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</si>
  <si>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</si>
  <si>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</si>
  <si>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</si>
  <si>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</si>
  <si>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</si>
  <si>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</si>
  <si>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</si>
  <si>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</si>
  <si>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</si>
  <si>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</si>
  <si>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</si>
  <si>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</si>
  <si>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</si>
  <si>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</si>
  <si>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</si>
  <si>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</si>
  <si>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</si>
  <si>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</si>
  <si>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</si>
  <si>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</si>
  <si>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</si>
  <si>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</si>
  <si>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</si>
  <si>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</si>
  <si>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</si>
  <si>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</si>
  <si>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</si>
  <si>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</si>
  <si>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</si>
  <si>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</si>
  <si>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</si>
  <si>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</si>
  <si>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</si>
  <si>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</si>
  <si>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</si>
  <si>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</si>
  <si>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</si>
  <si>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</si>
  <si>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</si>
  <si>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</si>
  <si>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</si>
  <si>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</si>
  <si>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</si>
  <si>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</si>
  <si>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</si>
  <si>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</si>
  <si>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</si>
  <si>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</si>
  <si>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</si>
  <si>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</si>
  <si>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</si>
  <si>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</si>
  <si>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</si>
  <si>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</si>
  <si>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</si>
  <si>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</si>
  <si>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</si>
  <si>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</si>
  <si>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</si>
  <si>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</si>
  <si>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</si>
  <si>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</si>
  <si>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</si>
  <si>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</si>
  <si>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</si>
  <si>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</si>
  <si>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</si>
  <si>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</si>
  <si>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</si>
  <si>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</si>
  <si>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</si>
  <si>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</si>
  <si>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</si>
  <si>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</si>
  <si>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</si>
  <si>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</si>
  <si>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</si>
  <si>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</si>
  <si>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</si>
  <si>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</si>
  <si>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</si>
  <si>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</si>
  <si>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</si>
  <si>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</si>
  <si>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</si>
  <si>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</si>
  <si>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</si>
  <si>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</si>
  <si>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</si>
  <si>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</si>
  <si>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</si>
  <si>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</si>
  <si>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</si>
  <si>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</si>
  <si>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</si>
  <si>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</si>
  <si>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</si>
  <si>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</si>
  <si>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</si>
  <si>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</si>
  <si>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</si>
  <si>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</si>
  <si>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</si>
  <si>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</si>
  <si>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</si>
  <si>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</si>
  <si>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</si>
  <si>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</si>
  <si>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</si>
  <si>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</si>
  <si>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</si>
  <si>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</si>
  <si>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</si>
  <si>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</si>
  <si>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</si>
  <si>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</si>
  <si>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</si>
  <si>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</si>
  <si>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</si>
  <si>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</si>
  <si>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</si>
  <si>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</si>
  <si>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</si>
  <si>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</si>
  <si>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</si>
  <si>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</si>
  <si>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</si>
  <si>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</si>
  <si>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</si>
  <si>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</si>
  <si>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</si>
  <si>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</si>
  <si>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</si>
  <si>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</si>
  <si>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</si>
  <si>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</si>
  <si>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</si>
  <si>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</si>
  <si>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</si>
  <si>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</si>
  <si>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</si>
  <si>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</si>
  <si>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</si>
  <si>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</si>
  <si>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</si>
  <si>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</si>
  <si>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</si>
  <si>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</si>
  <si>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</si>
  <si>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</si>
  <si>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</si>
  <si>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</si>
  <si>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</si>
  <si>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</si>
  <si>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</si>
  <si>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</si>
  <si>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</si>
  <si>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</si>
  <si>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</si>
  <si>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</si>
  <si>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</si>
  <si>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</si>
  <si>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</si>
  <si>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</si>
  <si>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</si>
  <si>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</si>
  <si>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</si>
  <si>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</si>
  <si>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</si>
  <si>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</si>
  <si>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</si>
  <si>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</si>
  <si>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</si>
  <si>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</si>
  <si>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</si>
  <si>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</si>
  <si>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</si>
  <si>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</si>
  <si>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</si>
  <si>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</si>
  <si>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</si>
  <si>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</si>
  <si>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</si>
  <si>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</si>
  <si>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</si>
  <si>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</si>
  <si>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</si>
  <si>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</si>
  <si>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</si>
  <si>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</si>
  <si>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</si>
  <si>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</si>
  <si>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</si>
  <si>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</si>
  <si>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</si>
  <si>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</si>
  <si>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</si>
  <si>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</si>
  <si>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</si>
  <si>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</si>
  <si>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</si>
  <si>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</si>
  <si>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</si>
  <si>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</si>
  <si>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</si>
  <si>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</si>
  <si>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</si>
  <si>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</si>
  <si>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</si>
  <si>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</si>
  <si>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</si>
  <si>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</si>
  <si>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</si>
  <si>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</si>
  <si>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</si>
  <si>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</si>
  <si>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</si>
  <si>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</si>
  <si>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</si>
  <si>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</si>
  <si>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</si>
  <si>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</si>
  <si>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</si>
  <si>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</si>
  <si>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</si>
  <si>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</si>
  <si>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</si>
  <si>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</si>
  <si>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</si>
  <si>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</si>
  <si>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</si>
  <si>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</si>
  <si>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</si>
  <si>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</si>
  <si>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</si>
  <si>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</si>
  <si>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</si>
  <si>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</si>
  <si>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</si>
  <si>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</si>
  <si>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</si>
  <si>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</si>
  <si>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</si>
  <si>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</si>
  <si>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</si>
  <si>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</si>
  <si>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</si>
  <si>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</si>
  <si>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</si>
  <si>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</si>
  <si>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</si>
  <si>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</si>
  <si>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</si>
  <si>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</si>
  <si>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</si>
  <si>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</si>
  <si>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</si>
  <si>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</si>
  <si>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</si>
  <si>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</si>
  <si>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</si>
  <si>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</si>
  <si>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</si>
  <si>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</si>
  <si>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</si>
  <si>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</si>
  <si>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</si>
  <si>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</si>
  <si>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</si>
  <si>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</si>
  <si>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</si>
  <si>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</si>
  <si>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</si>
  <si>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</si>
  <si>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</si>
  <si>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</si>
  <si>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</si>
  <si>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</si>
  <si>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</si>
  <si>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</si>
  <si>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</si>
  <si>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</si>
  <si>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</si>
  <si>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</si>
  <si>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</si>
  <si>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</si>
  <si>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</si>
  <si>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</si>
  <si>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</si>
  <si>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</si>
  <si>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</si>
  <si>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</si>
  <si>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</si>
  <si>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</si>
  <si>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</si>
  <si>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</si>
  <si>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</si>
  <si>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</si>
  <si>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</si>
  <si>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</si>
  <si>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</si>
  <si>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</si>
  <si>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</si>
  <si>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</si>
  <si>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</si>
  <si>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</si>
  <si>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</si>
  <si>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</si>
  <si>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</si>
  <si>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</si>
  <si>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</si>
  <si>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</si>
  <si>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</si>
  <si>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</si>
  <si>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</si>
  <si>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</si>
  <si>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</si>
  <si>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</si>
  <si>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</si>
  <si>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</si>
  <si>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</si>
  <si>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</si>
  <si>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</si>
  <si>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</si>
  <si>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</si>
  <si>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</si>
  <si>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</si>
  <si>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</si>
  <si>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</si>
  <si>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</si>
  <si>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</si>
  <si>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</si>
  <si>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</si>
  <si>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</si>
  <si>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</si>
  <si>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</si>
  <si>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</si>
  <si>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</si>
  <si>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</si>
  <si>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</si>
  <si>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</si>
  <si>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</si>
  <si>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</si>
  <si>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</si>
  <si>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</si>
  <si>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</si>
  <si>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</si>
  <si>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</si>
  <si>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</si>
  <si>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</si>
  <si>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</si>
  <si>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</si>
  <si>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</si>
  <si>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</si>
  <si>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</si>
  <si>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</si>
  <si>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</si>
  <si>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</si>
  <si>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</si>
  <si>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</si>
  <si>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</si>
  <si>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</si>
  <si>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</si>
  <si>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</si>
  <si>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</si>
  <si>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</si>
  <si>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</si>
  <si>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</si>
  <si>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</si>
  <si>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</si>
  <si>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</si>
  <si>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</si>
  <si>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</si>
  <si>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</si>
  <si>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</si>
  <si>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</si>
  <si>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</si>
  <si>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</si>
  <si>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</si>
  <si>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</si>
  <si>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</si>
  <si>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</si>
  <si>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</si>
  <si>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</si>
  <si>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</si>
  <si>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</si>
  <si>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</si>
  <si>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</si>
  <si>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</si>
  <si>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</si>
  <si>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</si>
  <si>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</si>
  <si>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</si>
  <si>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</si>
  <si>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</si>
  <si>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</si>
  <si>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</si>
  <si>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</si>
  <si>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</si>
  <si>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</si>
  <si>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</si>
  <si>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</si>
  <si>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</si>
  <si>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</si>
  <si>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</si>
  <si>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</si>
  <si>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</si>
  <si>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</si>
  <si>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</si>
  <si>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</si>
  <si>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</si>
  <si>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</si>
  <si>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</si>
  <si>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</si>
  <si>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</si>
  <si>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</si>
  <si>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</si>
  <si>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</si>
  <si>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</si>
  <si>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</si>
  <si>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</si>
  <si>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</si>
  <si>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</si>
  <si>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</si>
  <si>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</si>
  <si>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</si>
  <si>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</si>
  <si>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</si>
  <si>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</si>
  <si>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</si>
  <si>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</si>
  <si>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</si>
  <si>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</si>
  <si>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</si>
  <si>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</si>
  <si>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</si>
  <si>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</si>
  <si>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</si>
  <si>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</si>
  <si>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</si>
  <si>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</si>
  <si>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</si>
  <si>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</si>
  <si>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</si>
  <si>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</si>
  <si>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</si>
  <si>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</si>
  <si>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</si>
  <si>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</si>
  <si>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</si>
  <si>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</si>
  <si>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</si>
  <si>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</si>
  <si>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</si>
  <si>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</si>
  <si>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</si>
  <si>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</si>
  <si>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</si>
  <si>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</si>
  <si>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</si>
  <si>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</si>
  <si>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</si>
  <si>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</si>
  <si>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</si>
  <si>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</si>
  <si>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</si>
  <si>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</si>
  <si>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</si>
  <si>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</si>
  <si>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</si>
  <si>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</si>
  <si>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</si>
  <si>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</si>
  <si>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</si>
  <si>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</si>
  <si>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</si>
  <si>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</si>
  <si>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</si>
  <si>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</si>
  <si>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</si>
  <si>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</si>
  <si>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</si>
  <si>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</si>
  <si>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</si>
  <si>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</si>
  <si>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</si>
  <si>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</si>
  <si>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</si>
  <si>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</si>
  <si>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</si>
  <si>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</si>
  <si>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</si>
  <si>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</si>
  <si>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</si>
  <si>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</si>
  <si>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</si>
  <si>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</si>
  <si>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</si>
  <si>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</si>
  <si>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</si>
  <si>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</si>
  <si>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</si>
  <si>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</si>
  <si>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</si>
  <si>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</si>
  <si>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</si>
  <si>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</si>
  <si>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</si>
  <si>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</si>
  <si>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</si>
  <si>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</si>
  <si>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</si>
  <si>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</si>
  <si>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</si>
  <si>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</si>
  <si>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</si>
  <si>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</si>
  <si>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</si>
  <si>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</si>
  <si>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</si>
  <si>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</si>
  <si>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</si>
  <si>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</si>
  <si>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</si>
  <si>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</si>
  <si>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</si>
  <si>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</si>
  <si>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</si>
  <si>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</si>
  <si>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</si>
  <si>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</si>
  <si>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</si>
  <si>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</si>
  <si>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</si>
  <si>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</si>
  <si>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</si>
  <si>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</si>
  <si>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</si>
  <si>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</si>
  <si>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</si>
  <si>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</si>
  <si>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</si>
  <si>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</si>
  <si>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</si>
  <si>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</si>
  <si>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</si>
  <si>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</si>
  <si>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</si>
  <si>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</si>
  <si>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</si>
  <si>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</si>
  <si>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</si>
  <si>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</si>
  <si>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</si>
  <si>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</si>
  <si>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</si>
  <si>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</si>
  <si>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</si>
  <si>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</si>
  <si>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</si>
  <si>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</si>
  <si>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</si>
  <si>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</si>
  <si>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</si>
  <si>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</si>
  <si>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</si>
  <si>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</si>
  <si>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</si>
  <si>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</si>
  <si>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</si>
  <si>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</si>
  <si>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</si>
  <si>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</si>
  <si>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</si>
  <si>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</si>
  <si>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</si>
  <si>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</si>
  <si>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</si>
  <si>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</si>
  <si>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</si>
  <si>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</si>
  <si>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</si>
  <si>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</si>
  <si>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</si>
  <si>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</si>
  <si>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</si>
  <si>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</si>
  <si>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</si>
  <si>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</si>
  <si>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</si>
  <si>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</si>
  <si>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</si>
  <si>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</si>
  <si>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</si>
  <si>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</si>
  <si>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</si>
  <si>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</si>
  <si>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</si>
  <si>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</si>
  <si>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</si>
  <si>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</si>
  <si>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</si>
  <si>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</si>
  <si>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</si>
  <si>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</si>
  <si>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</si>
  <si>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</si>
  <si>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</si>
  <si>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</si>
  <si>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</si>
  <si>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</si>
  <si>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</si>
  <si>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</si>
  <si>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</si>
  <si>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</si>
  <si>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</si>
  <si>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</si>
  <si>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</si>
  <si>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</si>
  <si>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</si>
  <si>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</si>
  <si>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</si>
  <si>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</si>
  <si>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</si>
  <si>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</si>
  <si>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</si>
  <si>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</si>
  <si>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</si>
  <si>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</si>
  <si>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</si>
  <si>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</si>
  <si>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</si>
  <si>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</si>
  <si>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</si>
  <si>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</si>
  <si>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</si>
  <si>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</si>
  <si>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</si>
  <si>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</si>
  <si>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</si>
  <si>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</si>
  <si>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</si>
  <si>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</si>
  <si>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</si>
  <si>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</si>
  <si>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</si>
  <si>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</si>
  <si>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</si>
  <si>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</si>
  <si>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</si>
  <si>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</si>
  <si>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</si>
  <si>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</si>
  <si>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</si>
  <si>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</si>
  <si>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</si>
  <si>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</si>
  <si>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</si>
  <si>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</si>
  <si>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</si>
  <si>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</si>
  <si>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</si>
  <si>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</si>
  <si>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</si>
  <si>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</si>
  <si>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</si>
  <si>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</si>
  <si>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</si>
  <si>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</si>
  <si>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</si>
  <si>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</si>
  <si>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</si>
  <si>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</si>
  <si>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</si>
  <si>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</si>
  <si>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</si>
  <si>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</si>
  <si>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</si>
  <si>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</si>
  <si>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</si>
  <si>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</si>
  <si>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</si>
  <si>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</si>
  <si>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</si>
  <si>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</si>
  <si>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</si>
  <si>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</si>
  <si>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</si>
  <si>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</si>
  <si>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</si>
  <si>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</si>
  <si>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</si>
  <si>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</si>
  <si>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</si>
  <si>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</si>
  <si>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</si>
  <si>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</si>
  <si>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</si>
  <si>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</si>
  <si>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</si>
  <si>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</si>
  <si>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</si>
  <si>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</si>
  <si>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</si>
  <si>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</si>
  <si>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</si>
  <si>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</si>
  <si>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</si>
  <si>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</si>
  <si>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</si>
  <si>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</si>
  <si>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</si>
  <si>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</si>
  <si>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</si>
  <si>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</si>
  <si>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</si>
  <si>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</si>
  <si>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</si>
  <si>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</si>
  <si>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</si>
  <si>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</si>
  <si>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</si>
  <si>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</si>
  <si>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</si>
  <si>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</si>
  <si>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</si>
  <si>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</si>
  <si>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</si>
  <si>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</si>
  <si>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</si>
  <si>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</si>
  <si>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</si>
  <si>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</si>
  <si>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</si>
  <si>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</si>
  <si>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</si>
  <si>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</si>
  <si>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</si>
  <si>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</si>
  <si>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</si>
  <si>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</si>
  <si>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</si>
  <si>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</si>
  <si>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</si>
  <si>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</si>
  <si>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</si>
  <si>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</si>
  <si>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</si>
  <si>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</si>
  <si>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</si>
  <si>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</si>
  <si>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</si>
  <si>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</si>
  <si>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</si>
  <si>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</si>
  <si>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</si>
  <si>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</si>
  <si>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</si>
  <si>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</si>
  <si>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</si>
  <si>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</si>
  <si>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</si>
  <si>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</si>
  <si>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</si>
  <si>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</si>
  <si>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</si>
  <si>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</si>
  <si>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</si>
  <si>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</si>
  <si>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</si>
  <si>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</si>
  <si>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</si>
  <si>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</si>
  <si>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</si>
  <si>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</si>
  <si>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</si>
  <si>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</si>
  <si>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</si>
  <si>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</si>
  <si>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</si>
  <si>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</si>
  <si>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</si>
  <si>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</si>
  <si>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</si>
  <si>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</si>
  <si>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</si>
  <si>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</si>
  <si>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</si>
  <si>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</si>
  <si>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</si>
  <si>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</si>
  <si>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</si>
  <si>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</si>
  <si>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</si>
  <si>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</si>
  <si>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</si>
  <si>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</si>
  <si>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</si>
  <si>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</si>
  <si>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</si>
  <si>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</si>
  <si>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</si>
  <si>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</si>
  <si>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</si>
  <si>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</si>
  <si>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</si>
  <si>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</si>
  <si>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</si>
  <si>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</si>
  <si>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</si>
  <si>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</si>
  <si>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</si>
  <si>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</si>
  <si>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</si>
  <si>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</si>
  <si>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</si>
  <si>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</si>
  <si>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</si>
  <si>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</si>
  <si>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</si>
  <si>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</si>
  <si>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</si>
  <si>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</si>
  <si>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</si>
  <si>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</si>
  <si>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</si>
  <si>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</si>
  <si>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</si>
  <si>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</si>
  <si>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</si>
  <si>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</si>
  <si>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</si>
  <si>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</si>
  <si>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</si>
  <si>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</si>
  <si>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</si>
  <si>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</si>
  <si>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</si>
  <si>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</si>
  <si>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</si>
  <si>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</si>
  <si>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</si>
  <si>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</si>
  <si>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</si>
  <si>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</si>
  <si>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</si>
  <si>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</si>
  <si>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</si>
  <si>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</si>
  <si>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</si>
  <si>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</si>
  <si>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</si>
  <si>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</si>
  <si>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</si>
  <si>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</si>
  <si>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</si>
  <si>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</si>
  <si>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</si>
  <si>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</si>
  <si>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</si>
  <si>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</si>
  <si>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</si>
  <si>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</si>
  <si>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</si>
  <si>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</si>
  <si>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</si>
  <si>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</si>
  <si>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</si>
  <si>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</si>
  <si>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</si>
  <si>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</si>
  <si>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</si>
  <si>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</si>
  <si>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</si>
  <si>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</si>
  <si>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</si>
  <si>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</si>
  <si>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</si>
  <si>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</si>
  <si>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</si>
  <si>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</si>
  <si>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</si>
  <si>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</si>
  <si>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</si>
  <si>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</si>
  <si>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</si>
  <si>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</si>
  <si>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</si>
  <si>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</si>
  <si>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</si>
  <si>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</si>
  <si>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</si>
  <si>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</si>
  <si>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</si>
  <si>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</si>
  <si>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</si>
  <si>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</si>
  <si>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</si>
  <si>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</si>
  <si>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</si>
  <si>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</si>
  <si>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</si>
  <si>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</si>
  <si>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</si>
  <si>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</si>
  <si>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</si>
  <si>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</si>
  <si>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</si>
  <si>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</si>
  <si>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</si>
  <si>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</si>
  <si>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</si>
  <si>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</si>
  <si>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</si>
  <si>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</si>
  <si>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</si>
  <si>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</si>
  <si>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</si>
  <si>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</si>
  <si>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</si>
  <si>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</si>
  <si>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</si>
  <si>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</si>
  <si>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</si>
  <si>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</si>
  <si>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</si>
  <si>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</si>
  <si>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</si>
  <si>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</si>
  <si>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</si>
  <si>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</si>
  <si>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</si>
  <si>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</si>
  <si>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</si>
  <si>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</si>
  <si>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</si>
  <si>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</si>
  <si>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</si>
  <si>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</si>
  <si>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</si>
  <si>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</si>
  <si>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</si>
  <si>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</si>
  <si>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</si>
  <si>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</si>
  <si>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</si>
  <si>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</si>
  <si>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</si>
  <si>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</si>
  <si>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</si>
  <si>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</si>
  <si>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</si>
  <si>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</si>
  <si>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</si>
  <si>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</si>
  <si>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</si>
  <si>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</si>
  <si>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</si>
  <si>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</si>
  <si>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</si>
  <si>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</si>
  <si>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</si>
  <si>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</si>
  <si>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</si>
  <si>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</si>
  <si>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</si>
  <si>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</si>
  <si>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</si>
  <si>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</si>
  <si>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</si>
  <si>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</si>
  <si>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</si>
  <si>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</si>
  <si>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</si>
  <si>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</si>
  <si>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</si>
  <si>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</si>
  <si>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</si>
  <si>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</si>
  <si>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</si>
  <si>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</si>
  <si>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</si>
  <si>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</si>
  <si>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</si>
  <si>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</si>
  <si>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</si>
  <si>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</si>
  <si>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</si>
  <si>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</si>
  <si>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</si>
  <si>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</si>
  <si>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</si>
  <si>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</si>
  <si>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</si>
  <si>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</si>
  <si>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</si>
  <si>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</si>
  <si>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</si>
  <si>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</si>
  <si>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</si>
  <si>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</si>
  <si>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</si>
  <si>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</si>
  <si>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</si>
  <si>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</si>
  <si>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</si>
  <si>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</si>
  <si>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</si>
  <si>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</si>
  <si>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</si>
  <si>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</si>
  <si>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</si>
  <si>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</si>
  <si>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</si>
  <si>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</si>
  <si>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</si>
  <si>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</si>
  <si>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</si>
  <si>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</si>
  <si>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</si>
  <si>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</si>
  <si>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</si>
  <si>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</si>
  <si>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</si>
  <si>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</si>
  <si>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</si>
  <si>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</si>
  <si>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</si>
  <si>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</si>
  <si>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</si>
  <si>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</si>
  <si>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</si>
  <si>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</si>
  <si>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</si>
  <si>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</si>
  <si>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</si>
  <si>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</si>
  <si>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</si>
  <si>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</si>
  <si>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</si>
  <si>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</si>
  <si>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</si>
  <si>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</si>
  <si>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</si>
  <si>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</si>
  <si>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</si>
  <si>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</si>
  <si>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</si>
  <si>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</si>
  <si>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</si>
  <si>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</si>
  <si>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</si>
  <si>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</si>
  <si>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</si>
  <si>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</si>
  <si>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</si>
  <si>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</si>
  <si>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</si>
  <si>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</si>
  <si>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</si>
  <si>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</si>
  <si>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</si>
  <si>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</si>
  <si>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</si>
  <si>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</si>
  <si>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</si>
  <si>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</si>
  <si>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</si>
  <si>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</si>
  <si>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</si>
  <si>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</si>
  <si>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</si>
  <si>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</si>
  <si>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</si>
  <si>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</si>
  <si>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</si>
  <si>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</si>
  <si>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</si>
  <si>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</si>
  <si>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</si>
  <si>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</si>
  <si>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</si>
  <si>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</si>
  <si>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</si>
  <si>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</si>
  <si>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</si>
  <si>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</si>
  <si>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</si>
  <si>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</si>
  <si>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</si>
  <si>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</si>
  <si>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</si>
  <si>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</si>
  <si>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</si>
  <si>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</si>
  <si>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</si>
  <si>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</si>
  <si>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</si>
  <si>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</si>
  <si>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</si>
  <si>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</si>
  <si>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</si>
  <si>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</si>
  <si>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</si>
  <si>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</si>
  <si>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</si>
  <si>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</si>
  <si>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</si>
  <si>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</si>
  <si>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</si>
  <si>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</si>
  <si>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</si>
  <si>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</si>
  <si>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</si>
  <si>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</si>
  <si>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</si>
  <si>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</si>
  <si>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</si>
  <si>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</si>
  <si>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</si>
  <si>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</si>
  <si>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</si>
  <si>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</si>
  <si>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</si>
  <si>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</si>
  <si>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</si>
  <si>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</si>
  <si>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</si>
  <si>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</si>
  <si>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</si>
  <si>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</si>
  <si>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</si>
  <si>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</si>
  <si>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</si>
  <si>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</si>
  <si>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</si>
  <si>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</si>
  <si>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</si>
  <si>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</si>
  <si>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</si>
  <si>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</si>
  <si>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</si>
  <si>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</si>
  <si>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</si>
  <si>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</si>
  <si>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</si>
  <si>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</si>
  <si>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</si>
  <si>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</si>
  <si>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</si>
  <si>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</si>
  <si>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</si>
  <si>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</si>
  <si>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</si>
  <si>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</si>
  <si>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</si>
  <si>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</si>
  <si>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</si>
  <si>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</si>
  <si>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</si>
  <si>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</si>
  <si>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</si>
  <si>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</si>
  <si>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</si>
  <si>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</si>
  <si>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</si>
  <si>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</si>
  <si>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</si>
  <si>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</si>
  <si>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</si>
  <si>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</si>
  <si>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</si>
  <si>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</si>
  <si>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</si>
  <si>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</si>
  <si>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</si>
  <si>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</si>
  <si>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</si>
  <si>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</si>
  <si>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</si>
  <si>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</si>
  <si>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</si>
  <si>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</si>
  <si>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</si>
  <si>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</si>
  <si>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</si>
  <si>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</si>
  <si>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</si>
  <si>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</si>
  <si>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</si>
  <si>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</si>
  <si>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</si>
  <si>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</si>
  <si>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</si>
  <si>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</si>
  <si>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</si>
  <si>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</si>
  <si>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</si>
  <si>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</si>
  <si>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</si>
  <si>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</si>
  <si>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</si>
  <si>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</si>
  <si>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</si>
  <si>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</si>
  <si>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</si>
  <si>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</si>
  <si>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</si>
  <si>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</si>
  <si>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</si>
  <si>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</si>
  <si>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</si>
  <si>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</si>
  <si>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</si>
  <si>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</si>
  <si>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</si>
  <si>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</si>
  <si>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</si>
  <si>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</si>
  <si>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</si>
  <si>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</si>
  <si>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</si>
  <si>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</si>
  <si>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</si>
  <si>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</si>
  <si>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</si>
  <si>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</si>
  <si>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</si>
  <si>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</si>
  <si>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</si>
  <si>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</si>
  <si>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</si>
  <si>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</si>
  <si>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</si>
  <si>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</si>
  <si>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</si>
  <si>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</si>
  <si>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</si>
  <si>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</si>
  <si>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</si>
  <si>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</si>
  <si>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</si>
  <si>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</si>
  <si>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</si>
  <si>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</si>
  <si>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</si>
  <si>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</si>
  <si>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</si>
  <si>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</si>
  <si>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</si>
  <si>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</si>
  <si>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</si>
  <si>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</si>
  <si>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</si>
  <si>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</si>
  <si>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</si>
  <si>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</si>
  <si>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</si>
  <si>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</si>
  <si>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</si>
  <si>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</si>
  <si>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</si>
  <si>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</si>
  <si>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</si>
  <si>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</si>
  <si>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</si>
  <si>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</si>
  <si>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</si>
  <si>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</si>
  <si>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</si>
  <si>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</si>
  <si>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</si>
  <si>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</si>
  <si>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</si>
  <si>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</si>
  <si>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</si>
  <si>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</si>
  <si>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</si>
  <si>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</si>
  <si>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</si>
  <si>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</si>
  <si>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</si>
  <si>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</si>
  <si>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</si>
  <si>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</si>
  <si>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</si>
  <si>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</si>
  <si>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</si>
  <si>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</si>
  <si>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</si>
  <si>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</si>
  <si>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</si>
  <si>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</si>
  <si>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</si>
  <si>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</si>
  <si>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</si>
  <si>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</si>
  <si>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</si>
  <si>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</si>
  <si>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</si>
  <si>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</si>
  <si>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</si>
  <si>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</si>
  <si>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</si>
  <si>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</si>
  <si>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</si>
  <si>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</si>
  <si>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</si>
  <si>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</si>
  <si>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</si>
  <si>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</si>
  <si>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</si>
  <si>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</si>
  <si>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</si>
  <si>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</si>
  <si>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</si>
  <si>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</si>
  <si>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</si>
  <si>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</si>
  <si>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</si>
  <si>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</si>
  <si>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</si>
  <si>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</si>
  <si>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</si>
  <si>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</si>
  <si>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</si>
  <si>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</si>
  <si>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</si>
  <si>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</si>
  <si>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</si>
  <si>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</si>
  <si>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</si>
  <si>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</si>
  <si>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</si>
  <si>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</si>
  <si>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</si>
  <si>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</si>
  <si>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</si>
  <si>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</si>
  <si>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</si>
  <si>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</si>
  <si>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</si>
  <si>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</si>
  <si>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</si>
  <si>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</si>
  <si>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</si>
  <si>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</si>
  <si>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</si>
  <si>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</si>
  <si>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</si>
  <si>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</si>
  <si>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</si>
  <si>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</si>
  <si>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</si>
  <si>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</si>
  <si>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</si>
  <si>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</si>
  <si>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</si>
  <si>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</si>
  <si>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</si>
  <si>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</si>
  <si>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</si>
  <si>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</si>
  <si>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</si>
  <si>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</si>
  <si>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</si>
  <si>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</si>
  <si>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</si>
  <si>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</si>
  <si>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</si>
  <si>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</si>
  <si>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</si>
  <si>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</si>
  <si>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</si>
  <si>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</si>
  <si>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</si>
  <si>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</si>
  <si>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</si>
  <si>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</si>
  <si>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</si>
  <si>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</si>
  <si>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</si>
  <si>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</si>
  <si>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</si>
  <si>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</si>
  <si>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</si>
  <si>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</si>
  <si>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</si>
  <si>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</si>
  <si>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</si>
  <si>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</si>
  <si>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</si>
  <si>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</si>
  <si>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</si>
  <si>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</si>
  <si>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</si>
  <si>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</si>
  <si>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</si>
  <si>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</si>
  <si>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</si>
  <si>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</si>
  <si>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</si>
  <si>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</si>
  <si>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</si>
  <si>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</si>
  <si>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</si>
  <si>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</si>
  <si>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</si>
  <si>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</si>
  <si>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</si>
  <si>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</si>
  <si>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</si>
  <si>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</si>
  <si>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</si>
  <si>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</si>
  <si>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</si>
  <si>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</si>
  <si>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</si>
  <si>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</si>
  <si>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</si>
  <si>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</si>
  <si>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</si>
  <si>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</si>
  <si>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</si>
  <si>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</si>
  <si>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</si>
  <si>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</si>
  <si>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</si>
  <si>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</si>
  <si>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</si>
  <si>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</si>
  <si>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</si>
  <si>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</si>
  <si>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</si>
  <si>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</si>
  <si>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</si>
  <si>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</si>
  <si>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</si>
  <si>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</si>
  <si>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</si>
  <si>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</si>
  <si>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</si>
  <si>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</si>
  <si>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</si>
  <si>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</si>
  <si>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</si>
  <si>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</si>
  <si>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</si>
  <si>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</si>
  <si>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</si>
  <si>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</si>
  <si>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</si>
  <si>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</si>
  <si>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</si>
  <si>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</si>
  <si>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</si>
  <si>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</si>
  <si>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</si>
  <si>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</si>
  <si>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</si>
  <si>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</si>
  <si>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</si>
  <si>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</si>
  <si>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</si>
  <si>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</si>
  <si>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</si>
  <si>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</si>
  <si>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</si>
  <si>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</si>
  <si>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</si>
  <si>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</si>
  <si>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</si>
  <si>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</si>
  <si>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</si>
  <si>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</si>
  <si>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</si>
  <si>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</si>
  <si>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</si>
  <si>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</si>
  <si>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</si>
  <si>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</si>
  <si>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</si>
  <si>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</si>
  <si>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</si>
  <si>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</si>
  <si>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</si>
  <si>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</si>
  <si>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</si>
  <si>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</si>
  <si>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</si>
  <si>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</si>
  <si>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</si>
  <si>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</si>
  <si>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</si>
  <si>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</si>
  <si>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</si>
  <si>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</si>
  <si>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</si>
  <si>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</si>
  <si>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</si>
  <si>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</si>
  <si>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</si>
  <si>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</si>
  <si>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</si>
  <si>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</si>
  <si>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</si>
  <si>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</si>
  <si>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</si>
  <si>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</si>
  <si>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</si>
  <si>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</si>
  <si>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</si>
  <si>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</si>
  <si>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</si>
  <si>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</si>
  <si>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</si>
  <si>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</si>
  <si>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</si>
  <si>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</si>
  <si>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</si>
  <si>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</si>
  <si>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</si>
  <si>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</si>
  <si>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</si>
  <si>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</si>
  <si>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</si>
  <si>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</si>
  <si>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</si>
  <si>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</si>
  <si>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</si>
  <si>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</si>
  <si>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</si>
  <si>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</si>
  <si>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</si>
  <si>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</si>
  <si>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</si>
  <si>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</si>
  <si>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</si>
  <si>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</si>
  <si>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</si>
  <si>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</si>
  <si>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</si>
  <si>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</si>
  <si>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</si>
  <si>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</si>
  <si>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</si>
  <si>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</si>
  <si>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</si>
  <si>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</si>
  <si>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</si>
  <si>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</si>
  <si>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</si>
  <si>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</si>
  <si>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</si>
  <si>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</si>
  <si>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</si>
  <si>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</si>
  <si>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</si>
  <si>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</si>
  <si>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</si>
  <si>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</si>
  <si>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</si>
  <si>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</si>
  <si>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</si>
  <si>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</si>
  <si>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</si>
  <si>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</si>
  <si>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</si>
  <si>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</si>
  <si>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</si>
  <si>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</si>
  <si>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</si>
  <si>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</si>
  <si>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</si>
  <si>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</si>
  <si>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</si>
  <si>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</si>
  <si>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</si>
  <si>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</si>
  <si>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</si>
  <si>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</si>
  <si>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</si>
  <si>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</si>
  <si>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</si>
  <si>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</si>
  <si>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</si>
  <si>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</si>
  <si>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</si>
  <si>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</si>
  <si>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</si>
  <si>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</si>
  <si>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</si>
  <si>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</si>
  <si>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</si>
  <si>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</si>
  <si>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</si>
  <si>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</si>
  <si>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</si>
  <si>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</si>
  <si>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</si>
  <si>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</si>
  <si>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.. Luckily, tcost is mostly recreational complexity .. incremental or fine-tuning</t>
  </si>
  <si>
    <t>BOC CNY9k折合</t>
  </si>
  <si>
    <t>Poems mufu</t>
  </si>
  <si>
    <t>displayed</t>
  </si>
  <si>
    <t>SgBankAcct incl.AUM4k+87k excl.SRS+SGS+#153</t>
  </si>
  <si>
    <t>NA</t>
  </si>
  <si>
    <t>endFeb24{bonus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</si>
  <si>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</si>
  <si>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</si>
  <si>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</si>
  <si>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</si>
  <si>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</si>
  <si>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</si>
  <si>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</si>
  <si>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: fuxi*2</t>
  </si>
  <si>
    <t>kids small accounts</t>
  </si>
  <si>
    <t>book val #ex div</t>
  </si>
  <si>
    <t>snack</t>
  </si>
  <si>
    <t>EOD 28 Feb 2024</t>
  </si>
  <si>
    <t>EOD xxx Mar 2024</t>
  </si>
  <si>
    <t xml:space="preserve">scsc1.5% </t>
  </si>
  <si>
    <t xml:space="preserve">MCSA base </t>
  </si>
  <si>
    <t>e$ int #</t>
  </si>
  <si>
    <t xml:space="preserve">tBill upfront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</si>
  <si>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</si>
  <si>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</si>
  <si>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</si>
  <si>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</si>
  <si>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</si>
  <si>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</si>
  <si>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153.26!yet</t>
  </si>
  <si>
    <t>Cmlink+Starhub #</t>
  </si>
  <si>
    <t>px</t>
  </si>
  <si>
    <t>stable</t>
  </si>
  <si>
    <t>CPF OA/SA/MA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</si>
</sst>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2668</v>
      </c>
      <c r="F2" s="435"/>
      <c r="G2" s="401" t="s">
        <v>2669</v>
      </c>
      <c r="H2" s="401" t="s">
        <v>2668</v>
      </c>
      <c r="J2" s="435"/>
      <c r="K2" s="401" t="s">
        <v>2669</v>
      </c>
      <c r="L2" s="401" t="s">
        <v>2668</v>
      </c>
      <c r="N2" s="435"/>
      <c r="O2" s="401" t="s">
        <v>2669</v>
      </c>
      <c r="P2" s="401" t="s">
        <v>2668</v>
      </c>
      <c r="R2" s="435" t="s">
        <v>423</v>
      </c>
      <c r="S2" s="602" t="s">
        <v>2669</v>
      </c>
      <c r="T2" s="602" t="s">
        <v>2668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4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4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69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69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2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2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69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69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69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4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69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3"/>
      <c r="X34" s="623"/>
    </row>
    <row r="35" spans="1:24">
      <c r="B35" s="435" t="s">
        <v>2745</v>
      </c>
      <c r="D35" s="316">
        <f>SUM(D3:D33)*88</f>
        <v>1895.7128767123286</v>
      </c>
      <c r="F35" s="435" t="s">
        <v>2745</v>
      </c>
      <c r="H35" s="316">
        <f>SUM(H3:H33)*88</f>
        <v>2121.0410958904108</v>
      </c>
      <c r="J35" s="435" t="s">
        <v>2745</v>
      </c>
      <c r="L35" s="316">
        <f>SUM(L3:L33)*88</f>
        <v>2597.8082191780818</v>
      </c>
      <c r="N35" s="435" t="s">
        <v>2745</v>
      </c>
      <c r="P35" s="316">
        <f>SUM(P3:P33)*88</f>
        <v>2650.7287671232875</v>
      </c>
      <c r="R35" s="435" t="s">
        <v>2745</v>
      </c>
      <c r="T35" s="316">
        <f>SUM(T3:T33)</f>
        <v>292.29999999999995</v>
      </c>
      <c r="V35" s="435"/>
      <c r="W35" s="623"/>
      <c r="X35" s="316"/>
    </row>
    <row r="36" spans="1:24">
      <c r="A36" s="428"/>
      <c r="B36" s="435" t="s">
        <v>3003</v>
      </c>
      <c r="C36" s="428"/>
      <c r="D36" s="316">
        <f>'HIS19'!KQ21</f>
        <v>1895.66</v>
      </c>
      <c r="E36" s="428"/>
      <c r="F36" s="435" t="s">
        <v>3003</v>
      </c>
      <c r="G36" s="428"/>
      <c r="H36" s="316">
        <f>'HIS19'!KQ22</f>
        <v>2121.2199999999998</v>
      </c>
      <c r="I36" s="428"/>
      <c r="J36" s="435" t="s">
        <v>3003</v>
      </c>
      <c r="K36" s="428"/>
      <c r="L36" s="316">
        <f>'HIS19'!KQ23</f>
        <v>2597.87</v>
      </c>
      <c r="M36" s="428"/>
      <c r="N36" s="435" t="s">
        <v>3003</v>
      </c>
      <c r="O36" s="428"/>
      <c r="P36" s="316">
        <f>'HIS19'!KQ24</f>
        <v>2650.71</v>
      </c>
      <c r="R36" s="435" t="s">
        <v>3003</v>
      </c>
      <c r="T36" s="316">
        <v>292</v>
      </c>
      <c r="V36" s="435"/>
      <c r="W36" s="623"/>
      <c r="X36" s="316"/>
    </row>
    <row r="37" spans="1:24" s="428" customFormat="1">
      <c r="A37"/>
      <c r="B37" s="435" t="s">
        <v>3022</v>
      </c>
      <c r="C37"/>
      <c r="D37" s="316">
        <f>D36-D35</f>
        <v>-5.2876712328497888E-2</v>
      </c>
      <c r="E37"/>
      <c r="F37" s="435" t="s">
        <v>3022</v>
      </c>
      <c r="G37" s="401"/>
      <c r="H37" s="316">
        <f>H36-H35</f>
        <v>0.17890410958898428</v>
      </c>
      <c r="I37" s="401"/>
      <c r="J37" s="435" t="s">
        <v>3022</v>
      </c>
      <c r="K37" s="401"/>
      <c r="L37" s="316">
        <f>L36-L35</f>
        <v>6.1780821918091533E-2</v>
      </c>
      <c r="M37" s="401"/>
      <c r="N37" s="435" t="s">
        <v>3022</v>
      </c>
      <c r="O37" s="401"/>
      <c r="P37" s="316">
        <f>P36-P35</f>
        <v>-1.8767123287489085E-2</v>
      </c>
      <c r="R37" s="435" t="s">
        <v>3022</v>
      </c>
      <c r="S37" s="602"/>
      <c r="T37" s="316">
        <f>T36-T35</f>
        <v>-0.29999999999995453</v>
      </c>
      <c r="V37" s="435"/>
      <c r="W37" s="623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2631</v>
      </c>
      <c r="C2" s="396"/>
      <c r="D2" s="415" t="s">
        <v>2805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2718</v>
      </c>
      <c r="I4" s="218" t="s">
        <v>2913</v>
      </c>
      <c r="J4" s="218" t="s">
        <v>2719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2721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2720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2554</v>
      </c>
      <c r="I29" s="340" t="s">
        <v>2555</v>
      </c>
      <c r="J29" s="340" t="s">
        <v>2632</v>
      </c>
      <c r="K29" s="340" t="s">
        <v>2556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3103</v>
      </c>
      <c r="I32" s="627" t="s">
        <v>3103</v>
      </c>
      <c r="J32" s="627" t="s">
        <v>3103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5">
        <f t="shared" ref="I33:J33" si="2">I30*I31/365*31</f>
        <v>76.438356164383549</v>
      </c>
      <c r="J33" s="665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2645</v>
      </c>
      <c r="H34" s="340">
        <v>212.33</v>
      </c>
      <c r="I34" s="340">
        <v>76.44</v>
      </c>
      <c r="J34" s="340">
        <v>67.94</v>
      </c>
      <c r="K34" s="625">
        <f>'HIS19'!LO23</f>
        <v>36.380000000000003</v>
      </c>
    </row>
    <row r="35" spans="2:11">
      <c r="B35" s="399">
        <f>AVERAGE(B3:B33)</f>
        <v>100000</v>
      </c>
      <c r="D35" s="801">
        <f>SUMPRODUCT(D3:D33,E3:E33)/365</f>
        <v>34.006575342465737</v>
      </c>
      <c r="E35" s="801"/>
      <c r="F35" s="400"/>
    </row>
    <row r="36" spans="2:11">
      <c r="B36" s="396" t="s">
        <v>2650</v>
      </c>
      <c r="D36" s="801" t="s">
        <v>2640</v>
      </c>
      <c r="E36" s="801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3123</v>
      </c>
      <c r="C2" s="387" t="s">
        <v>311</v>
      </c>
      <c r="D2" s="388" t="s">
        <v>2578</v>
      </c>
      <c r="E2" s="389" t="s">
        <v>2576</v>
      </c>
      <c r="F2" s="389" t="s">
        <v>2600</v>
      </c>
      <c r="G2" s="389" t="s">
        <v>2577</v>
      </c>
      <c r="H2" s="387" t="s">
        <v>460</v>
      </c>
      <c r="I2" s="386" t="s">
        <v>2575</v>
      </c>
    </row>
    <row r="3" spans="2:9" ht="14.25">
      <c r="B3" s="226"/>
      <c r="C3" s="226">
        <v>102000</v>
      </c>
      <c r="D3" s="226">
        <v>0</v>
      </c>
      <c r="E3" s="226">
        <v>0</v>
      </c>
      <c r="F3" s="639" t="s">
        <v>2599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0" t="s">
        <v>2599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0" t="s">
        <v>2599</v>
      </c>
      <c r="G6" s="226">
        <f>SUM(B6:E6)</f>
        <v>112225.48</v>
      </c>
      <c r="H6" s="81">
        <v>44195</v>
      </c>
      <c r="I6" s="63" t="s">
        <v>2579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0" t="s">
        <v>2599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0" t="s">
        <v>2599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0" t="s">
        <v>2599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0" t="s">
        <v>2599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0" t="s">
        <v>2599</v>
      </c>
      <c r="G12" s="226">
        <f t="shared" si="1"/>
        <v>109175.48</v>
      </c>
      <c r="H12" s="81">
        <v>44701</v>
      </c>
      <c r="I12" s="63" t="s">
        <v>3135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0" t="s">
        <v>2599</v>
      </c>
      <c r="G13" s="226">
        <f t="shared" si="1"/>
        <v>110985.48</v>
      </c>
      <c r="H13" s="81">
        <v>44727</v>
      </c>
      <c r="I13" s="63" t="s">
        <v>3136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0" t="s">
        <v>2599</v>
      </c>
      <c r="G14" s="226">
        <f t="shared" si="1"/>
        <v>106859.48</v>
      </c>
      <c r="H14" s="81">
        <v>44788</v>
      </c>
      <c r="I14" s="63" t="s">
        <v>3137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0" t="s">
        <v>2599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0" t="s">
        <v>2599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0" t="s">
        <v>2599</v>
      </c>
      <c r="G17" s="226">
        <f t="shared" si="2"/>
        <v>99359.48</v>
      </c>
      <c r="H17" s="81">
        <v>44910</v>
      </c>
      <c r="I17" s="63" t="s">
        <v>3137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0" t="s">
        <v>2599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0" t="s">
        <v>2599</v>
      </c>
      <c r="G19" s="226">
        <f t="shared" si="2"/>
        <v>101108.48</v>
      </c>
      <c r="H19" s="81">
        <v>45092</v>
      </c>
      <c r="I19" s="63" t="s">
        <v>2766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0" t="s">
        <v>2599</v>
      </c>
      <c r="G20" s="226">
        <f t="shared" si="2"/>
        <v>105108.48</v>
      </c>
      <c r="H20" s="81">
        <v>45127</v>
      </c>
      <c r="I20" s="63" t="s">
        <v>2770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0" t="s">
        <v>2599</v>
      </c>
      <c r="G21" s="226">
        <f t="shared" ref="G21:G22" si="3">SUM(B21:E21)</f>
        <v>107108.48</v>
      </c>
      <c r="H21" s="81">
        <v>45168</v>
      </c>
      <c r="I21" s="63" t="s">
        <v>3132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0" t="s">
        <v>2599</v>
      </c>
      <c r="G22" s="226">
        <f t="shared" si="3"/>
        <v>105108.48</v>
      </c>
      <c r="H22" s="81">
        <v>45285</v>
      </c>
      <c r="I22" s="63" t="s">
        <v>3134</v>
      </c>
    </row>
    <row r="23" spans="2:9">
      <c r="B23" s="226"/>
      <c r="C23" s="63" t="s">
        <v>3133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1537</v>
      </c>
      <c r="D24" s="226">
        <v>92000</v>
      </c>
      <c r="E24" s="226">
        <v>8000</v>
      </c>
      <c r="F24" s="640" t="s">
        <v>2599</v>
      </c>
      <c r="G24" s="226">
        <f t="shared" ref="G24:G25" si="4">SUM(B24:E24)</f>
        <v>113108.48</v>
      </c>
      <c r="H24" s="81">
        <v>45323</v>
      </c>
      <c r="I24" s="63" t="s">
        <v>3245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0" t="s">
        <v>2599</v>
      </c>
      <c r="G25" s="226">
        <f t="shared" si="4"/>
        <v>107108.48</v>
      </c>
      <c r="H25" s="81">
        <v>45327</v>
      </c>
      <c r="I25" s="63" t="s">
        <v>3246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3"/>
      <c r="G27" s="63"/>
      <c r="H27" s="63"/>
      <c r="I27" s="63"/>
    </row>
    <row r="28" spans="2:9">
      <c r="B28" s="63"/>
      <c r="C28" s="63"/>
      <c r="D28" s="63"/>
      <c r="E28" s="63"/>
      <c r="F28" s="683"/>
      <c r="G28" s="63"/>
      <c r="H28" s="63"/>
      <c r="I28" s="63"/>
    </row>
    <row r="29" spans="2:9">
      <c r="B29" s="63"/>
      <c r="C29" s="63"/>
      <c r="D29" s="63"/>
      <c r="E29" s="63"/>
      <c r="F29" s="683"/>
      <c r="G29" s="63"/>
      <c r="H29" s="63"/>
      <c r="I29" s="63"/>
    </row>
    <row r="30" spans="2:9">
      <c r="B30" s="63"/>
      <c r="C30" s="63"/>
      <c r="D30" s="63"/>
      <c r="E30" s="63"/>
      <c r="F30" s="683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6" t="s">
        <v>124</v>
      </c>
      <c r="C1" s="746"/>
      <c r="D1" s="749" t="s">
        <v>292</v>
      </c>
      <c r="E1" s="749"/>
      <c r="F1" s="749" t="s">
        <v>341</v>
      </c>
      <c r="G1" s="749"/>
      <c r="H1" s="747" t="s">
        <v>127</v>
      </c>
      <c r="I1" s="747"/>
      <c r="J1" s="743" t="s">
        <v>292</v>
      </c>
      <c r="K1" s="743"/>
      <c r="L1" s="748" t="s">
        <v>520</v>
      </c>
      <c r="M1" s="748"/>
      <c r="N1" s="747" t="s">
        <v>146</v>
      </c>
      <c r="O1" s="747"/>
      <c r="P1" s="743" t="s">
        <v>293</v>
      </c>
      <c r="Q1" s="743"/>
      <c r="R1" s="748" t="s">
        <v>522</v>
      </c>
      <c r="S1" s="748"/>
      <c r="T1" s="737" t="s">
        <v>193</v>
      </c>
      <c r="U1" s="737"/>
      <c r="V1" s="743" t="s">
        <v>292</v>
      </c>
      <c r="W1" s="743"/>
      <c r="X1" s="742" t="s">
        <v>524</v>
      </c>
      <c r="Y1" s="742"/>
      <c r="Z1" s="737" t="s">
        <v>241</v>
      </c>
      <c r="AA1" s="737"/>
      <c r="AB1" s="744" t="s">
        <v>292</v>
      </c>
      <c r="AC1" s="744"/>
      <c r="AD1" s="745" t="s">
        <v>524</v>
      </c>
      <c r="AE1" s="745"/>
      <c r="AF1" s="737" t="s">
        <v>367</v>
      </c>
      <c r="AG1" s="737"/>
      <c r="AH1" s="744" t="s">
        <v>292</v>
      </c>
      <c r="AI1" s="744"/>
      <c r="AJ1" s="742" t="s">
        <v>530</v>
      </c>
      <c r="AK1" s="742"/>
      <c r="AL1" s="737" t="s">
        <v>389</v>
      </c>
      <c r="AM1" s="737"/>
      <c r="AN1" s="754" t="s">
        <v>292</v>
      </c>
      <c r="AO1" s="754"/>
      <c r="AP1" s="752" t="s">
        <v>531</v>
      </c>
      <c r="AQ1" s="752"/>
      <c r="AR1" s="737" t="s">
        <v>416</v>
      </c>
      <c r="AS1" s="737"/>
      <c r="AV1" s="752" t="s">
        <v>285</v>
      </c>
      <c r="AW1" s="752"/>
      <c r="AX1" s="755" t="s">
        <v>998</v>
      </c>
      <c r="AY1" s="755"/>
      <c r="AZ1" s="755"/>
      <c r="BA1" s="207"/>
      <c r="BB1" s="750">
        <v>42942</v>
      </c>
      <c r="BC1" s="751"/>
      <c r="BD1" s="7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6" t="s">
        <v>261</v>
      </c>
      <c r="U4" s="736"/>
      <c r="X4" s="119" t="s">
        <v>233</v>
      </c>
      <c r="Y4" s="123">
        <f>Y3-Y6</f>
        <v>4.9669099999591708</v>
      </c>
      <c r="Z4" s="736" t="s">
        <v>262</v>
      </c>
      <c r="AA4" s="736"/>
      <c r="AD4" s="154" t="s">
        <v>233</v>
      </c>
      <c r="AE4" s="154">
        <f>AE3-AE5</f>
        <v>-52.526899999851594</v>
      </c>
      <c r="AF4" s="736" t="s">
        <v>262</v>
      </c>
      <c r="AG4" s="736"/>
      <c r="AH4" s="143"/>
      <c r="AI4" s="143"/>
      <c r="AJ4" s="154" t="s">
        <v>233</v>
      </c>
      <c r="AK4" s="154">
        <f>AK3-AK5</f>
        <v>94.988909999992757</v>
      </c>
      <c r="AL4" s="736" t="s">
        <v>262</v>
      </c>
      <c r="AM4" s="736"/>
      <c r="AP4" s="170" t="s">
        <v>233</v>
      </c>
      <c r="AQ4" s="174">
        <f>AQ3-AQ5</f>
        <v>33.841989999942598</v>
      </c>
      <c r="AR4" s="736" t="s">
        <v>262</v>
      </c>
      <c r="AS4" s="736"/>
      <c r="AX4" s="736" t="s">
        <v>564</v>
      </c>
      <c r="AY4" s="736"/>
      <c r="BB4" s="736" t="s">
        <v>567</v>
      </c>
      <c r="BC4" s="7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6"/>
      <c r="U5" s="736"/>
      <c r="V5" s="3" t="s">
        <v>258</v>
      </c>
      <c r="W5">
        <v>2050</v>
      </c>
      <c r="X5" s="82"/>
      <c r="Z5" s="736"/>
      <c r="AA5" s="7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6"/>
      <c r="AG5" s="736"/>
      <c r="AH5" s="143"/>
      <c r="AI5" s="143"/>
      <c r="AJ5" s="154" t="s">
        <v>352</v>
      </c>
      <c r="AK5" s="162">
        <f>SUM(AK11:AK59)</f>
        <v>30858.011000000002</v>
      </c>
      <c r="AL5" s="736"/>
      <c r="AM5" s="7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6"/>
      <c r="AS5" s="736"/>
      <c r="AX5" s="736"/>
      <c r="AY5" s="736"/>
      <c r="BB5" s="736"/>
      <c r="BC5" s="736"/>
      <c r="BD5" s="753" t="s">
        <v>999</v>
      </c>
      <c r="BE5" s="753"/>
      <c r="BF5" s="753"/>
      <c r="BG5" s="753"/>
      <c r="BH5" s="753"/>
      <c r="BI5" s="753"/>
      <c r="BJ5" s="753"/>
      <c r="BK5" s="7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1255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1256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8" t="s">
        <v>264</v>
      </c>
      <c r="W23" s="7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0"/>
      <c r="W24" s="7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tabSelected="1" topLeftCell="A14" zoomScaleNormal="100" workbookViewId="0">
      <selection activeCell="F23" sqref="F23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3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7.85546875" style="2" customWidth="1"/>
    <col min="12" max="12" width="0.7109375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3333</v>
      </c>
      <c r="C2" s="248" t="s">
        <v>2466</v>
      </c>
      <c r="D2" s="248"/>
      <c r="E2" s="248"/>
      <c r="F2" s="248"/>
      <c r="G2" s="762" t="s">
        <v>3307</v>
      </c>
      <c r="H2" s="763"/>
      <c r="I2" s="701"/>
      <c r="J2" s="762" t="s">
        <v>3293</v>
      </c>
      <c r="K2" s="763"/>
      <c r="L2" s="345"/>
      <c r="M2" s="762" t="s">
        <v>3294</v>
      </c>
      <c r="N2" s="763"/>
      <c r="O2" s="273"/>
      <c r="P2" s="762">
        <v>43739</v>
      </c>
      <c r="Q2" s="763"/>
      <c r="R2" s="762">
        <v>42401</v>
      </c>
      <c r="S2" s="763"/>
    </row>
    <row r="3" spans="2:19">
      <c r="B3" s="248" t="s">
        <v>3334</v>
      </c>
      <c r="C3" s="248" t="s">
        <v>1040</v>
      </c>
      <c r="D3" s="248" t="s">
        <v>3309</v>
      </c>
      <c r="E3" s="248"/>
      <c r="F3" s="248" t="s">
        <v>3308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3311</v>
      </c>
      <c r="C4" s="63" t="s">
        <v>3314</v>
      </c>
      <c r="D4" s="71" t="s">
        <v>2472</v>
      </c>
      <c r="E4" s="63" t="s">
        <v>309</v>
      </c>
      <c r="F4" s="63" t="s">
        <v>1179</v>
      </c>
      <c r="G4" s="349"/>
      <c r="H4" s="70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3311</v>
      </c>
      <c r="C5" s="63" t="s">
        <v>3314</v>
      </c>
      <c r="D5" s="71" t="s">
        <v>2472</v>
      </c>
      <c r="E5" s="63" t="s">
        <v>2473</v>
      </c>
      <c r="F5" s="63" t="s">
        <v>1179</v>
      </c>
      <c r="G5" s="349"/>
      <c r="H5" s="70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3313</v>
      </c>
      <c r="C6" s="71" t="s">
        <v>1178</v>
      </c>
      <c r="D6" s="71" t="s">
        <v>1219</v>
      </c>
      <c r="E6" s="63" t="s">
        <v>3273</v>
      </c>
      <c r="F6" s="63" t="s">
        <v>1179</v>
      </c>
      <c r="G6" s="349" t="s">
        <v>3278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3313</v>
      </c>
      <c r="C7" s="71" t="s">
        <v>1041</v>
      </c>
      <c r="D7" s="71" t="s">
        <v>1219</v>
      </c>
      <c r="E7" s="63" t="s">
        <v>3274</v>
      </c>
      <c r="F7" s="63" t="s">
        <v>1179</v>
      </c>
      <c r="G7" s="349"/>
      <c r="H7" s="226">
        <v>238</v>
      </c>
      <c r="I7" s="226"/>
      <c r="J7" s="349"/>
      <c r="K7" s="226" t="s">
        <v>2562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3313</v>
      </c>
      <c r="C8" s="71" t="s">
        <v>1178</v>
      </c>
      <c r="D8" s="71" t="s">
        <v>1219</v>
      </c>
      <c r="E8" s="63" t="s">
        <v>3281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3313</v>
      </c>
      <c r="C9" s="71" t="s">
        <v>1178</v>
      </c>
      <c r="D9" s="71" t="s">
        <v>1219</v>
      </c>
      <c r="E9" s="63" t="s">
        <v>2475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3313</v>
      </c>
      <c r="C10" s="71" t="s">
        <v>1178</v>
      </c>
      <c r="D10" s="71" t="s">
        <v>1219</v>
      </c>
      <c r="E10" s="63" t="s">
        <v>3270</v>
      </c>
      <c r="F10" s="63" t="s">
        <v>1179</v>
      </c>
      <c r="G10" s="349" t="s">
        <v>3278</v>
      </c>
      <c r="H10" s="226">
        <f>4600+3700*7</f>
        <v>30500</v>
      </c>
      <c r="I10" s="63" t="s">
        <v>3275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3313</v>
      </c>
      <c r="C11" s="71" t="s">
        <v>1041</v>
      </c>
      <c r="D11" s="71" t="s">
        <v>1219</v>
      </c>
      <c r="E11" s="63" t="s">
        <v>3272</v>
      </c>
      <c r="F11" s="63" t="s">
        <v>1179</v>
      </c>
      <c r="G11" s="349"/>
      <c r="H11" s="226">
        <v>2191</v>
      </c>
      <c r="I11" s="707" t="s">
        <v>3269</v>
      </c>
      <c r="J11" s="708"/>
      <c r="K11" s="709" t="s">
        <v>2537</v>
      </c>
      <c r="L11" s="709"/>
      <c r="M11" s="708"/>
      <c r="N11" s="709">
        <v>-46000</v>
      </c>
      <c r="O11" s="709"/>
      <c r="P11" s="708"/>
      <c r="Q11" s="709">
        <v>-36000</v>
      </c>
      <c r="R11" s="707"/>
      <c r="S11" s="707"/>
    </row>
    <row r="12" spans="2:19" ht="14.25" customHeight="1">
      <c r="B12" s="63" t="s">
        <v>3313</v>
      </c>
      <c r="C12" s="71" t="s">
        <v>1041</v>
      </c>
      <c r="D12" s="71" t="s">
        <v>1219</v>
      </c>
      <c r="E12" s="63" t="s">
        <v>3271</v>
      </c>
      <c r="F12" s="63" t="s">
        <v>1179</v>
      </c>
      <c r="G12" s="349"/>
      <c r="H12" s="226">
        <v>34004</v>
      </c>
      <c r="I12" s="707" t="s">
        <v>2455</v>
      </c>
      <c r="J12" s="708"/>
      <c r="K12" s="710">
        <v>5000</v>
      </c>
      <c r="L12" s="709"/>
      <c r="M12" s="708"/>
      <c r="N12" s="711">
        <f>Q12</f>
        <v>5000</v>
      </c>
      <c r="O12" s="709"/>
      <c r="P12" s="708"/>
      <c r="Q12" s="709">
        <v>5000</v>
      </c>
      <c r="R12" s="707"/>
      <c r="S12" s="707"/>
    </row>
    <row r="13" spans="2:19">
      <c r="B13" s="63" t="s">
        <v>3311</v>
      </c>
      <c r="C13" s="71" t="s">
        <v>2536</v>
      </c>
      <c r="D13" s="71" t="s">
        <v>314</v>
      </c>
      <c r="E13" s="63" t="s">
        <v>843</v>
      </c>
      <c r="F13" s="63" t="s">
        <v>1179</v>
      </c>
      <c r="G13" s="349"/>
      <c r="H13" s="70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3311</v>
      </c>
      <c r="C14" s="71" t="s">
        <v>2536</v>
      </c>
      <c r="D14" s="71" t="s">
        <v>2472</v>
      </c>
      <c r="E14" s="63" t="s">
        <v>863</v>
      </c>
      <c r="F14" s="63" t="s">
        <v>1179</v>
      </c>
      <c r="G14" s="349"/>
      <c r="H14" s="70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3311</v>
      </c>
      <c r="C15" s="71" t="s">
        <v>3317</v>
      </c>
      <c r="D15" s="71" t="s">
        <v>1219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3311</v>
      </c>
      <c r="C16" s="71" t="s">
        <v>2536</v>
      </c>
      <c r="D16" s="756" t="s">
        <v>3310</v>
      </c>
      <c r="E16" s="63" t="s">
        <v>2468</v>
      </c>
      <c r="F16" s="63" t="s">
        <v>1179</v>
      </c>
      <c r="G16" s="349"/>
      <c r="H16" s="70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3311</v>
      </c>
      <c r="C17" s="71" t="s">
        <v>2536</v>
      </c>
      <c r="D17" s="757"/>
      <c r="E17" s="63" t="s">
        <v>2470</v>
      </c>
      <c r="F17" s="63" t="s">
        <v>1179</v>
      </c>
      <c r="G17" s="349"/>
      <c r="H17" s="70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3313</v>
      </c>
      <c r="C18" s="71" t="s">
        <v>2536</v>
      </c>
      <c r="D18" s="757"/>
      <c r="E18" s="63" t="s">
        <v>2469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3313</v>
      </c>
      <c r="C19" s="71" t="s">
        <v>2536</v>
      </c>
      <c r="D19" s="757"/>
      <c r="E19" s="63" t="s">
        <v>2467</v>
      </c>
      <c r="F19" s="63" t="s">
        <v>1179</v>
      </c>
      <c r="G19" s="70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3313</v>
      </c>
      <c r="C20" s="71" t="s">
        <v>1178</v>
      </c>
      <c r="D20" s="757"/>
      <c r="E20" s="63" t="s">
        <v>3335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3313</v>
      </c>
      <c r="C21" s="63" t="s">
        <v>3314</v>
      </c>
      <c r="D21" s="757"/>
      <c r="E21" s="63" t="s">
        <v>1036</v>
      </c>
      <c r="F21" s="63" t="s">
        <v>1179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3313</v>
      </c>
      <c r="C22" s="71" t="s">
        <v>1178</v>
      </c>
      <c r="D22" s="757"/>
      <c r="E22" s="63" t="s">
        <v>2457</v>
      </c>
      <c r="F22" s="63" t="s">
        <v>1179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3311</v>
      </c>
      <c r="C23" s="63" t="s">
        <v>3314</v>
      </c>
      <c r="D23" s="757"/>
      <c r="E23" s="63" t="s">
        <v>1177</v>
      </c>
      <c r="F23" s="63" t="s">
        <v>1180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3313</v>
      </c>
      <c r="C24" s="71" t="s">
        <v>2536</v>
      </c>
      <c r="D24" s="757"/>
      <c r="E24" s="714" t="s">
        <v>3285</v>
      </c>
      <c r="F24" s="63" t="s">
        <v>1179</v>
      </c>
      <c r="G24" s="350">
        <v>50065</v>
      </c>
      <c r="H24" s="226"/>
      <c r="I24" s="707" t="s">
        <v>2471</v>
      </c>
      <c r="J24" s="708" t="s">
        <v>2456</v>
      </c>
      <c r="K24" s="709"/>
      <c r="L24" s="709"/>
      <c r="M24" s="716">
        <f>P24</f>
        <v>20000</v>
      </c>
      <c r="N24" s="709"/>
      <c r="O24" s="709"/>
      <c r="P24" s="708">
        <v>20000</v>
      </c>
      <c r="Q24" s="709"/>
      <c r="R24" s="708">
        <v>30000</v>
      </c>
      <c r="S24" s="707"/>
    </row>
    <row r="25" spans="2:19" s="347" customFormat="1">
      <c r="B25" s="63" t="s">
        <v>3311</v>
      </c>
      <c r="C25" s="71" t="s">
        <v>3317</v>
      </c>
      <c r="D25" s="758"/>
      <c r="E25" s="63" t="s">
        <v>3291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3311</v>
      </c>
      <c r="C26" s="71" t="s">
        <v>3304</v>
      </c>
      <c r="D26" s="71" t="s">
        <v>314</v>
      </c>
      <c r="E26" s="63" t="s">
        <v>3282</v>
      </c>
      <c r="F26" s="63" t="s">
        <v>1179</v>
      </c>
      <c r="G26" s="350">
        <v>1234</v>
      </c>
      <c r="H26" s="226"/>
      <c r="I26" s="707" t="s">
        <v>2465</v>
      </c>
      <c r="J26" s="708">
        <v>1000</v>
      </c>
      <c r="K26" s="709"/>
      <c r="L26" s="709"/>
      <c r="M26" s="708">
        <v>92574</v>
      </c>
      <c r="N26" s="709"/>
      <c r="O26" s="709"/>
      <c r="P26" s="708">
        <v>102000</v>
      </c>
      <c r="Q26" s="709"/>
      <c r="R26" s="715">
        <v>55000</v>
      </c>
      <c r="S26" s="707"/>
    </row>
    <row r="27" spans="2:19">
      <c r="B27" s="63" t="s">
        <v>3311</v>
      </c>
      <c r="C27" s="71" t="s">
        <v>3304</v>
      </c>
      <c r="D27" s="71" t="s">
        <v>314</v>
      </c>
      <c r="E27" s="63" t="s">
        <v>3303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3313</v>
      </c>
      <c r="C28" s="71" t="s">
        <v>2536</v>
      </c>
      <c r="D28" s="71" t="s">
        <v>1219</v>
      </c>
      <c r="E28" s="63" t="s">
        <v>3279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3313</v>
      </c>
      <c r="C29" s="71" t="s">
        <v>1041</v>
      </c>
      <c r="D29" s="71" t="s">
        <v>2472</v>
      </c>
      <c r="E29" s="63" t="s">
        <v>3287</v>
      </c>
      <c r="F29" s="63" t="s">
        <v>1179</v>
      </c>
      <c r="G29" s="350">
        <v>285000</v>
      </c>
      <c r="H29" s="226" t="s">
        <v>3315</v>
      </c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3313</v>
      </c>
      <c r="C30" s="71" t="s">
        <v>1041</v>
      </c>
      <c r="D30" s="71" t="s">
        <v>1219</v>
      </c>
      <c r="E30" s="360" t="s">
        <v>1860</v>
      </c>
      <c r="F30" s="63" t="s">
        <v>1180</v>
      </c>
      <c r="G30" s="352">
        <v>10017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3313</v>
      </c>
      <c r="C31" s="714" t="s">
        <v>1178</v>
      </c>
      <c r="D31" s="759" t="s">
        <v>3305</v>
      </c>
      <c r="E31" s="760"/>
      <c r="F31" s="183" t="s">
        <v>2493</v>
      </c>
      <c r="G31" s="352">
        <v>385000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14"/>
      <c r="F32" s="719"/>
      <c r="G32" s="350"/>
      <c r="H32" s="226"/>
      <c r="I32" s="707" t="s">
        <v>3269</v>
      </c>
      <c r="J32" s="708" t="s">
        <v>2462</v>
      </c>
      <c r="K32" s="709"/>
      <c r="L32" s="709"/>
      <c r="M32" s="708">
        <v>-30000</v>
      </c>
      <c r="N32" s="709"/>
      <c r="O32" s="709"/>
      <c r="P32" s="708">
        <v>-40000</v>
      </c>
      <c r="Q32" s="709"/>
      <c r="R32" s="708">
        <v>-30000</v>
      </c>
      <c r="S32" s="707"/>
    </row>
    <row r="33" spans="2:19" s="365" customFormat="1">
      <c r="B33" s="63" t="s">
        <v>3313</v>
      </c>
      <c r="C33" s="713" t="s">
        <v>1041</v>
      </c>
      <c r="D33" s="71" t="s">
        <v>3306</v>
      </c>
      <c r="E33" s="360" t="s">
        <v>3284</v>
      </c>
      <c r="F33" s="183" t="s">
        <v>1179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 t="s">
        <v>3313</v>
      </c>
      <c r="C34" s="63" t="s">
        <v>3314</v>
      </c>
      <c r="D34" s="71" t="s">
        <v>3306</v>
      </c>
      <c r="E34" s="360" t="s">
        <v>3283</v>
      </c>
      <c r="F34" s="183" t="s">
        <v>1179</v>
      </c>
      <c r="G34" s="352">
        <v>-600</v>
      </c>
      <c r="H34" s="226"/>
      <c r="I34" s="226"/>
      <c r="J34" s="352">
        <v>0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3311</v>
      </c>
      <c r="C35" s="63" t="s">
        <v>3314</v>
      </c>
      <c r="D35" s="71" t="s">
        <v>314</v>
      </c>
      <c r="E35" s="63" t="s">
        <v>3302</v>
      </c>
      <c r="F35" s="63" t="s">
        <v>1180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07" t="s">
        <v>3276</v>
      </c>
      <c r="P35" s="708"/>
      <c r="Q35" s="709">
        <v>20000</v>
      </c>
      <c r="R35" s="707"/>
      <c r="S35" s="707"/>
    </row>
    <row r="36" spans="2:19" s="362" customFormat="1">
      <c r="B36" s="63" t="s">
        <v>3311</v>
      </c>
      <c r="C36" s="71" t="s">
        <v>1178</v>
      </c>
      <c r="D36" s="71" t="s">
        <v>314</v>
      </c>
      <c r="E36" s="360" t="s">
        <v>3289</v>
      </c>
      <c r="F36" s="63" t="s">
        <v>1179</v>
      </c>
      <c r="G36" s="350">
        <v>20000</v>
      </c>
      <c r="H36" s="226"/>
      <c r="I36" s="226"/>
      <c r="J36" s="350">
        <v>16000</v>
      </c>
      <c r="K36" s="226" t="s">
        <v>3288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3313</v>
      </c>
      <c r="C37" s="71" t="s">
        <v>3306</v>
      </c>
      <c r="D37" s="71" t="s">
        <v>1219</v>
      </c>
      <c r="E37" s="63" t="s">
        <v>3316</v>
      </c>
      <c r="F37" s="71" t="s">
        <v>2463</v>
      </c>
      <c r="G37" s="350" t="s">
        <v>2494</v>
      </c>
      <c r="H37" s="226"/>
      <c r="I37" s="226"/>
      <c r="J37" s="350"/>
      <c r="K37" s="226"/>
      <c r="L37" s="226"/>
      <c r="M37" s="350"/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3313</v>
      </c>
      <c r="C38" s="71" t="s">
        <v>3306</v>
      </c>
      <c r="D38" s="71" t="s">
        <v>1219</v>
      </c>
      <c r="E38" s="63" t="s">
        <v>3280</v>
      </c>
      <c r="F38" s="63" t="s">
        <v>1180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D39" s="206"/>
      <c r="E39" s="206" t="s">
        <v>2461</v>
      </c>
      <c r="G39" s="114">
        <f>SUM(G4:G38)</f>
        <v>1962486</v>
      </c>
      <c r="H39" s="346">
        <f>SUM(H4:H38)</f>
        <v>683033</v>
      </c>
      <c r="J39" s="114">
        <f>SUM(J4:J38)</f>
        <v>1735000</v>
      </c>
      <c r="K39" s="2">
        <f>SUM(K4:K38)</f>
        <v>628000</v>
      </c>
      <c r="M39" s="114">
        <f>SUM(M4:M38)</f>
        <v>1194591</v>
      </c>
      <c r="N39" s="2">
        <f>SUM(N4:N38)</f>
        <v>498618</v>
      </c>
      <c r="P39" s="114">
        <f>SUM(P4:P38)</f>
        <v>1114249</v>
      </c>
      <c r="Q39" s="2">
        <f>SUM(Q4:Q38)</f>
        <v>493000</v>
      </c>
      <c r="R39" s="114">
        <f>SUM(R4:R38)</f>
        <v>1006000</v>
      </c>
      <c r="S39" s="2">
        <f>SUM(S4:S38)</f>
        <v>231020</v>
      </c>
    </row>
    <row r="40" spans="2:19" s="343" customFormat="1">
      <c r="D40" s="206"/>
      <c r="E40" s="206" t="s">
        <v>2495</v>
      </c>
      <c r="G40" s="114">
        <v>1962486</v>
      </c>
      <c r="H40" s="346">
        <v>683033</v>
      </c>
      <c r="I40" s="2"/>
      <c r="J40" s="114">
        <v>1735000</v>
      </c>
      <c r="K40" s="2">
        <v>628000</v>
      </c>
      <c r="L40" s="2"/>
      <c r="M40" s="114">
        <v>1194591</v>
      </c>
      <c r="N40" s="2">
        <v>498618</v>
      </c>
      <c r="O40" s="2"/>
      <c r="P40" s="114">
        <v>1114249</v>
      </c>
      <c r="Q40" s="2">
        <v>493000</v>
      </c>
      <c r="R40" s="114">
        <v>1006000</v>
      </c>
      <c r="S40" s="2">
        <v>231202</v>
      </c>
    </row>
    <row r="41" spans="2:19" s="344" customFormat="1">
      <c r="E41" s="348" t="s">
        <v>3290</v>
      </c>
      <c r="F41" s="201">
        <v>1.34</v>
      </c>
      <c r="G41" s="114"/>
      <c r="H41" s="114" t="s">
        <v>3277</v>
      </c>
      <c r="I41" s="2"/>
      <c r="J41" s="114"/>
      <c r="K41" s="114" t="s">
        <v>2458</v>
      </c>
      <c r="L41" s="2"/>
      <c r="M41" s="114"/>
      <c r="N41" s="346"/>
      <c r="O41" s="2"/>
    </row>
    <row r="42" spans="2:19" s="344" customFormat="1">
      <c r="D42" s="206"/>
      <c r="E42" s="206" t="s">
        <v>2534</v>
      </c>
      <c r="G42" s="764">
        <f>G39/$F$41+H39</f>
        <v>2147574.7910447763</v>
      </c>
      <c r="H42" s="764"/>
      <c r="I42" s="2"/>
      <c r="J42" s="764">
        <f>J39/$F$41+K39</f>
        <v>1922776.1194029851</v>
      </c>
      <c r="K42" s="764"/>
      <c r="L42" s="2"/>
      <c r="M42" s="114"/>
      <c r="N42" s="2"/>
      <c r="O42" s="2"/>
      <c r="P42" s="114"/>
      <c r="Q42" s="2"/>
    </row>
    <row r="43" spans="2:19" s="344" customFormat="1">
      <c r="D43" s="206"/>
      <c r="E43" s="206" t="s">
        <v>2535</v>
      </c>
      <c r="G43" s="761">
        <f>H39*$F$41+G39</f>
        <v>2877750.22</v>
      </c>
      <c r="H43" s="761"/>
      <c r="I43" s="2"/>
      <c r="J43" s="761">
        <f>K39*$F$41+J39</f>
        <v>2576520</v>
      </c>
      <c r="K43" s="761"/>
      <c r="L43" s="2"/>
      <c r="M43" s="761">
        <f>N39*1.37+M39</f>
        <v>1877697.6600000001</v>
      </c>
      <c r="N43" s="761"/>
      <c r="O43" s="2"/>
      <c r="P43" s="761">
        <f>Q39*1.37+P39</f>
        <v>1789659</v>
      </c>
      <c r="Q43" s="761"/>
      <c r="R43" s="761">
        <f>S39*1.36+R39</f>
        <v>1320187.2</v>
      </c>
      <c r="S43" s="761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04" t="s">
        <v>1181</v>
      </c>
      <c r="C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</row>
    <row r="47" spans="2:19" s="720" customFormat="1">
      <c r="B47" s="720" t="s">
        <v>3301</v>
      </c>
      <c r="D47" s="723"/>
    </row>
    <row r="48" spans="2:19">
      <c r="B48" s="704" t="s">
        <v>2460</v>
      </c>
      <c r="C48" s="704"/>
      <c r="E48" s="704"/>
      <c r="F48" s="704"/>
      <c r="G48" s="704"/>
      <c r="H48" s="704"/>
      <c r="I48" s="704"/>
      <c r="J48" s="704"/>
      <c r="K48" s="704"/>
      <c r="L48" s="704"/>
      <c r="M48" s="704"/>
      <c r="N48" s="704"/>
      <c r="O48" s="704"/>
      <c r="P48" s="704"/>
      <c r="Q48" s="704"/>
    </row>
    <row r="49" spans="2:17">
      <c r="B49" s="704" t="s">
        <v>2459</v>
      </c>
      <c r="C49" s="704"/>
      <c r="E49" s="704"/>
      <c r="F49" s="704"/>
      <c r="G49" s="704"/>
      <c r="H49" s="704"/>
      <c r="I49" s="704"/>
      <c r="J49" s="704"/>
      <c r="K49" s="704"/>
      <c r="L49" s="704"/>
      <c r="M49" s="704"/>
      <c r="N49" s="704"/>
      <c r="O49" s="704"/>
      <c r="P49" s="704"/>
      <c r="Q49" s="704"/>
    </row>
    <row r="50" spans="2:17" s="55" customFormat="1" ht="12.75" customHeight="1">
      <c r="B50" s="717" t="s">
        <v>3292</v>
      </c>
      <c r="C50" s="717"/>
      <c r="D50" s="717"/>
      <c r="E50" s="717"/>
      <c r="F50" s="717"/>
      <c r="G50" s="717"/>
      <c r="H50" s="717"/>
      <c r="I50" s="717"/>
      <c r="J50" s="717"/>
      <c r="K50" s="717"/>
      <c r="L50" s="717"/>
      <c r="M50" s="717"/>
      <c r="N50" s="717"/>
      <c r="O50" s="717"/>
      <c r="P50" s="717"/>
      <c r="Q50" s="717"/>
    </row>
    <row r="51" spans="2:17" s="55" customFormat="1" ht="23.25">
      <c r="B51" s="717" t="s">
        <v>3312</v>
      </c>
      <c r="C51" s="717"/>
      <c r="D51" s="717"/>
      <c r="E51" s="717"/>
      <c r="F51" s="717"/>
      <c r="G51" s="717"/>
      <c r="H51" s="717"/>
      <c r="I51" s="717"/>
      <c r="J51" s="717"/>
      <c r="K51" s="717"/>
      <c r="L51" s="717"/>
      <c r="M51" s="717"/>
      <c r="N51" s="717"/>
      <c r="O51" s="717"/>
      <c r="P51" s="717"/>
      <c r="Q51" s="717"/>
    </row>
    <row r="52" spans="2:17">
      <c r="B52" s="703"/>
      <c r="C52" s="703"/>
      <c r="D52" s="703"/>
      <c r="E52" s="703"/>
      <c r="F52" s="703"/>
      <c r="G52" s="703"/>
      <c r="H52" s="703"/>
      <c r="I52" s="703"/>
      <c r="J52" s="703"/>
      <c r="K52" s="703"/>
      <c r="L52" s="703"/>
      <c r="M52" s="703"/>
      <c r="N52" s="703"/>
      <c r="O52" s="703"/>
      <c r="P52" s="703"/>
      <c r="Q52" s="703"/>
    </row>
  </sheetData>
  <mergeCells count="14">
    <mergeCell ref="D16:D25"/>
    <mergeCell ref="D31:E31"/>
    <mergeCell ref="R43:S43"/>
    <mergeCell ref="G2:H2"/>
    <mergeCell ref="G42:H42"/>
    <mergeCell ref="G43:H43"/>
    <mergeCell ref="R2:S2"/>
    <mergeCell ref="P2:Q2"/>
    <mergeCell ref="M2:N2"/>
    <mergeCell ref="J2:K2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2509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2518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2516</v>
      </c>
      <c r="C5" s="375">
        <v>44561</v>
      </c>
      <c r="D5" s="63" t="s">
        <v>2524</v>
      </c>
      <c r="E5" s="90">
        <v>505987.67999999993</v>
      </c>
      <c r="F5" s="63" t="s">
        <v>2524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2512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2512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2512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2512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2512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2512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2512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2512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2512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2512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2511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2508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2513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2510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2523</v>
      </c>
      <c r="C24" s="375">
        <v>43100</v>
      </c>
      <c r="D24" s="63" t="s">
        <v>2524</v>
      </c>
      <c r="E24" s="90">
        <v>705314.48</v>
      </c>
      <c r="F24" s="63" t="s">
        <v>2524</v>
      </c>
      <c r="G24" s="90"/>
      <c r="H24" s="90"/>
      <c r="K24" s="52"/>
    </row>
    <row r="25" spans="2:11">
      <c r="B25" s="63" t="s">
        <v>2521</v>
      </c>
      <c r="C25" s="375" t="s">
        <v>2507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2517</v>
      </c>
      <c r="C26" s="375" t="s">
        <v>2522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2519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2520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6" t="s">
        <v>2527</v>
      </c>
      <c r="F38" s="767"/>
      <c r="G38" s="90"/>
      <c r="H38" s="90"/>
    </row>
    <row r="39" spans="2:8">
      <c r="B39" s="63" t="s">
        <v>2525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2526</v>
      </c>
    </row>
    <row r="41" spans="2:8" ht="18">
      <c r="B41" s="765" t="s">
        <v>989</v>
      </c>
      <c r="C41" s="765"/>
      <c r="D41" s="765"/>
      <c r="E41" s="765"/>
      <c r="F41" s="765"/>
      <c r="G41" s="765"/>
      <c r="H41" s="7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1282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1283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1284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6" t="s">
        <v>909</v>
      </c>
      <c r="C1" s="746"/>
      <c r="D1" s="745" t="s">
        <v>515</v>
      </c>
      <c r="E1" s="745"/>
      <c r="F1" s="746" t="s">
        <v>513</v>
      </c>
      <c r="G1" s="746"/>
      <c r="H1" s="772" t="s">
        <v>549</v>
      </c>
      <c r="I1" s="772"/>
      <c r="J1" s="745" t="s">
        <v>515</v>
      </c>
      <c r="K1" s="745"/>
      <c r="L1" s="746" t="s">
        <v>908</v>
      </c>
      <c r="M1" s="746"/>
      <c r="N1" s="772" t="s">
        <v>549</v>
      </c>
      <c r="O1" s="772"/>
      <c r="P1" s="745" t="s">
        <v>515</v>
      </c>
      <c r="Q1" s="745"/>
      <c r="R1" s="746" t="s">
        <v>552</v>
      </c>
      <c r="S1" s="746"/>
      <c r="T1" s="772" t="s">
        <v>549</v>
      </c>
      <c r="U1" s="772"/>
      <c r="V1" s="745" t="s">
        <v>515</v>
      </c>
      <c r="W1" s="745"/>
      <c r="X1" s="746" t="s">
        <v>907</v>
      </c>
      <c r="Y1" s="746"/>
      <c r="Z1" s="772" t="s">
        <v>549</v>
      </c>
      <c r="AA1" s="772"/>
      <c r="AB1" s="745" t="s">
        <v>515</v>
      </c>
      <c r="AC1" s="745"/>
      <c r="AD1" s="746" t="s">
        <v>591</v>
      </c>
      <c r="AE1" s="746"/>
      <c r="AF1" s="772" t="s">
        <v>549</v>
      </c>
      <c r="AG1" s="772"/>
      <c r="AH1" s="745" t="s">
        <v>515</v>
      </c>
      <c r="AI1" s="745"/>
      <c r="AJ1" s="746" t="s">
        <v>906</v>
      </c>
      <c r="AK1" s="746"/>
      <c r="AL1" s="772" t="s">
        <v>626</v>
      </c>
      <c r="AM1" s="772"/>
      <c r="AN1" s="745" t="s">
        <v>627</v>
      </c>
      <c r="AO1" s="745"/>
      <c r="AP1" s="746" t="s">
        <v>621</v>
      </c>
      <c r="AQ1" s="746"/>
      <c r="AR1" s="772" t="s">
        <v>549</v>
      </c>
      <c r="AS1" s="772"/>
      <c r="AT1" s="745" t="s">
        <v>515</v>
      </c>
      <c r="AU1" s="745"/>
      <c r="AV1" s="746" t="s">
        <v>905</v>
      </c>
      <c r="AW1" s="746"/>
      <c r="AX1" s="772" t="s">
        <v>549</v>
      </c>
      <c r="AY1" s="772"/>
      <c r="AZ1" s="745" t="s">
        <v>515</v>
      </c>
      <c r="BA1" s="745"/>
      <c r="BB1" s="746" t="s">
        <v>653</v>
      </c>
      <c r="BC1" s="746"/>
      <c r="BD1" s="772" t="s">
        <v>549</v>
      </c>
      <c r="BE1" s="772"/>
      <c r="BF1" s="745" t="s">
        <v>515</v>
      </c>
      <c r="BG1" s="745"/>
      <c r="BH1" s="746" t="s">
        <v>904</v>
      </c>
      <c r="BI1" s="746"/>
      <c r="BJ1" s="772" t="s">
        <v>549</v>
      </c>
      <c r="BK1" s="772"/>
      <c r="BL1" s="745" t="s">
        <v>515</v>
      </c>
      <c r="BM1" s="745"/>
      <c r="BN1" s="746" t="s">
        <v>921</v>
      </c>
      <c r="BO1" s="746"/>
      <c r="BP1" s="772" t="s">
        <v>549</v>
      </c>
      <c r="BQ1" s="772"/>
      <c r="BR1" s="745" t="s">
        <v>515</v>
      </c>
      <c r="BS1" s="745"/>
      <c r="BT1" s="746" t="s">
        <v>903</v>
      </c>
      <c r="BU1" s="746"/>
      <c r="BV1" s="772" t="s">
        <v>704</v>
      </c>
      <c r="BW1" s="772"/>
      <c r="BX1" s="745" t="s">
        <v>705</v>
      </c>
      <c r="BY1" s="745"/>
      <c r="BZ1" s="746" t="s">
        <v>703</v>
      </c>
      <c r="CA1" s="746"/>
      <c r="CB1" s="772" t="s">
        <v>730</v>
      </c>
      <c r="CC1" s="772"/>
      <c r="CD1" s="745" t="s">
        <v>731</v>
      </c>
      <c r="CE1" s="745"/>
      <c r="CF1" s="746" t="s">
        <v>902</v>
      </c>
      <c r="CG1" s="746"/>
      <c r="CH1" s="772" t="s">
        <v>730</v>
      </c>
      <c r="CI1" s="772"/>
      <c r="CJ1" s="745" t="s">
        <v>731</v>
      </c>
      <c r="CK1" s="745"/>
      <c r="CL1" s="746" t="s">
        <v>748</v>
      </c>
      <c r="CM1" s="746"/>
      <c r="CN1" s="772" t="s">
        <v>730</v>
      </c>
      <c r="CO1" s="772"/>
      <c r="CP1" s="745" t="s">
        <v>731</v>
      </c>
      <c r="CQ1" s="745"/>
      <c r="CR1" s="746" t="s">
        <v>901</v>
      </c>
      <c r="CS1" s="746"/>
      <c r="CT1" s="772" t="s">
        <v>730</v>
      </c>
      <c r="CU1" s="772"/>
      <c r="CV1" s="770" t="s">
        <v>731</v>
      </c>
      <c r="CW1" s="770"/>
      <c r="CX1" s="746" t="s">
        <v>769</v>
      </c>
      <c r="CY1" s="746"/>
      <c r="CZ1" s="772" t="s">
        <v>730</v>
      </c>
      <c r="DA1" s="772"/>
      <c r="DB1" s="770" t="s">
        <v>731</v>
      </c>
      <c r="DC1" s="770"/>
      <c r="DD1" s="746" t="s">
        <v>900</v>
      </c>
      <c r="DE1" s="746"/>
      <c r="DF1" s="772" t="s">
        <v>816</v>
      </c>
      <c r="DG1" s="772"/>
      <c r="DH1" s="770" t="s">
        <v>817</v>
      </c>
      <c r="DI1" s="770"/>
      <c r="DJ1" s="746" t="s">
        <v>809</v>
      </c>
      <c r="DK1" s="746"/>
      <c r="DL1" s="772" t="s">
        <v>816</v>
      </c>
      <c r="DM1" s="772"/>
      <c r="DN1" s="770" t="s">
        <v>731</v>
      </c>
      <c r="DO1" s="770"/>
      <c r="DP1" s="746" t="s">
        <v>899</v>
      </c>
      <c r="DQ1" s="746"/>
      <c r="DR1" s="772" t="s">
        <v>816</v>
      </c>
      <c r="DS1" s="772"/>
      <c r="DT1" s="770" t="s">
        <v>731</v>
      </c>
      <c r="DU1" s="770"/>
      <c r="DV1" s="746" t="s">
        <v>898</v>
      </c>
      <c r="DW1" s="746"/>
      <c r="DX1" s="772" t="s">
        <v>816</v>
      </c>
      <c r="DY1" s="772"/>
      <c r="DZ1" s="770" t="s">
        <v>731</v>
      </c>
      <c r="EA1" s="770"/>
      <c r="EB1" s="746" t="s">
        <v>897</v>
      </c>
      <c r="EC1" s="746"/>
      <c r="ED1" s="772" t="s">
        <v>816</v>
      </c>
      <c r="EE1" s="772"/>
      <c r="EF1" s="770" t="s">
        <v>731</v>
      </c>
      <c r="EG1" s="770"/>
      <c r="EH1" s="746" t="s">
        <v>883</v>
      </c>
      <c r="EI1" s="746"/>
      <c r="EJ1" s="772" t="s">
        <v>816</v>
      </c>
      <c r="EK1" s="772"/>
      <c r="EL1" s="770" t="s">
        <v>936</v>
      </c>
      <c r="EM1" s="770"/>
      <c r="EN1" s="746" t="s">
        <v>922</v>
      </c>
      <c r="EO1" s="746"/>
      <c r="EP1" s="772" t="s">
        <v>816</v>
      </c>
      <c r="EQ1" s="772"/>
      <c r="ER1" s="770" t="s">
        <v>950</v>
      </c>
      <c r="ES1" s="770"/>
      <c r="ET1" s="746" t="s">
        <v>937</v>
      </c>
      <c r="EU1" s="746"/>
      <c r="EV1" s="772" t="s">
        <v>816</v>
      </c>
      <c r="EW1" s="772"/>
      <c r="EX1" s="770" t="s">
        <v>530</v>
      </c>
      <c r="EY1" s="770"/>
      <c r="EZ1" s="746" t="s">
        <v>952</v>
      </c>
      <c r="FA1" s="74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1542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1547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1548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1" t="s">
        <v>779</v>
      </c>
      <c r="CU7" s="74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1549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1" t="s">
        <v>778</v>
      </c>
      <c r="DA8" s="74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1" t="s">
        <v>778</v>
      </c>
      <c r="DG8" s="74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1" t="s">
        <v>778</v>
      </c>
      <c r="DM8" s="74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1" t="s">
        <v>778</v>
      </c>
      <c r="DS8" s="746"/>
      <c r="DT8" s="142" t="s">
        <v>783</v>
      </c>
      <c r="DU8" s="142">
        <f>SUM(DU13:DU17)</f>
        <v>32</v>
      </c>
      <c r="DV8" s="63"/>
      <c r="DW8" s="63"/>
      <c r="DX8" s="771" t="s">
        <v>778</v>
      </c>
      <c r="DY8" s="7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1" t="s">
        <v>928</v>
      </c>
      <c r="EK8" s="7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1550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1" t="s">
        <v>928</v>
      </c>
      <c r="EQ9" s="74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1" t="s">
        <v>928</v>
      </c>
      <c r="EW9" s="74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1" t="s">
        <v>928</v>
      </c>
      <c r="EE11" s="74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1" t="s">
        <v>778</v>
      </c>
      <c r="CU12" s="7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1540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7" t="s">
        <v>782</v>
      </c>
      <c r="CU19" s="73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1543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9" t="s">
        <v>858</v>
      </c>
      <c r="FA21" s="769"/>
      <c r="FC21" s="237">
        <f>FC20-FC22</f>
        <v>113457.16899999997</v>
      </c>
      <c r="FD21" s="229"/>
      <c r="FE21" s="768" t="s">
        <v>1541</v>
      </c>
      <c r="FF21" s="768"/>
      <c r="FG21" s="76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9" t="s">
        <v>871</v>
      </c>
      <c r="FA22" s="76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1544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9" t="s">
        <v>1000</v>
      </c>
      <c r="FA23" s="76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9" t="s">
        <v>1073</v>
      </c>
      <c r="FA24" s="76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1545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3" t="s">
        <v>1538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3" t="s">
        <v>1539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4"/>
      <c r="FD32" s="239">
        <f>FC22-FC24-SUM(FD29:FD31)</f>
        <v>11389.822000000036</v>
      </c>
      <c r="FE32" s="63" t="s">
        <v>1546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Z79"/>
  <sheetViews>
    <sheetView topLeftCell="LO1" zoomScaleNormal="100" workbookViewId="0">
      <selection activeCell="LW31" sqref="LW3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7" customWidth="1"/>
    <col min="321" max="321" width="11.42578125" style="647" customWidth="1"/>
    <col min="322" max="322" width="18.28515625" style="647" customWidth="1"/>
    <col min="323" max="323" width="12" style="647" customWidth="1"/>
    <col min="324" max="324" width="20.7109375" style="647" customWidth="1"/>
    <col min="325" max="325" width="10.5703125" style="647" customWidth="1"/>
    <col min="326" max="326" width="19.140625" style="677" bestFit="1" customWidth="1"/>
    <col min="327" max="327" width="11.42578125" style="202" customWidth="1"/>
    <col min="328" max="328" width="23.85546875" style="677" bestFit="1" customWidth="1"/>
    <col min="329" max="329" width="8.5703125" style="677" bestFit="1" customWidth="1"/>
    <col min="330" max="330" width="18" style="677" customWidth="1"/>
    <col min="331" max="331" width="10.5703125" style="677" customWidth="1"/>
    <col min="332" max="332" width="19.140625" style="728" bestFit="1" customWidth="1"/>
    <col min="333" max="333" width="11.42578125" style="202" customWidth="1"/>
    <col min="334" max="334" width="23.85546875" style="728" bestFit="1" customWidth="1"/>
    <col min="335" max="335" width="10.140625" style="728" customWidth="1"/>
    <col min="336" max="336" width="18.85546875" style="728" customWidth="1"/>
    <col min="337" max="337" width="10.5703125" style="728" customWidth="1"/>
    <col min="338" max="338" width="9.140625" style="460" bestFit="1" customWidth="1"/>
    <col min="339" max="16384" width="14.5703125" style="340"/>
  </cols>
  <sheetData>
    <row r="1" spans="1:338">
      <c r="A1" s="777" t="s">
        <v>1204</v>
      </c>
      <c r="B1" s="777"/>
      <c r="C1" s="754" t="s">
        <v>292</v>
      </c>
      <c r="D1" s="754"/>
      <c r="E1" s="752" t="s">
        <v>1010</v>
      </c>
      <c r="F1" s="752"/>
      <c r="G1" s="777" t="s">
        <v>1205</v>
      </c>
      <c r="H1" s="777"/>
      <c r="I1" s="754" t="s">
        <v>292</v>
      </c>
      <c r="J1" s="754"/>
      <c r="K1" s="752" t="s">
        <v>1011</v>
      </c>
      <c r="L1" s="752"/>
      <c r="M1" s="777" t="s">
        <v>1206</v>
      </c>
      <c r="N1" s="777"/>
      <c r="O1" s="754" t="s">
        <v>292</v>
      </c>
      <c r="P1" s="754"/>
      <c r="Q1" s="752" t="s">
        <v>1054</v>
      </c>
      <c r="R1" s="752"/>
      <c r="S1" s="777" t="s">
        <v>1207</v>
      </c>
      <c r="T1" s="777"/>
      <c r="U1" s="754" t="s">
        <v>292</v>
      </c>
      <c r="V1" s="754"/>
      <c r="W1" s="752" t="s">
        <v>627</v>
      </c>
      <c r="X1" s="752"/>
      <c r="Y1" s="777" t="s">
        <v>1208</v>
      </c>
      <c r="Z1" s="777"/>
      <c r="AA1" s="754" t="s">
        <v>292</v>
      </c>
      <c r="AB1" s="754"/>
      <c r="AC1" s="752" t="s">
        <v>1081</v>
      </c>
      <c r="AD1" s="752"/>
      <c r="AE1" s="777" t="s">
        <v>1209</v>
      </c>
      <c r="AF1" s="777"/>
      <c r="AG1" s="754" t="s">
        <v>292</v>
      </c>
      <c r="AH1" s="754"/>
      <c r="AI1" s="752" t="s">
        <v>1131</v>
      </c>
      <c r="AJ1" s="752"/>
      <c r="AK1" s="777" t="s">
        <v>1212</v>
      </c>
      <c r="AL1" s="777"/>
      <c r="AM1" s="754" t="s">
        <v>1129</v>
      </c>
      <c r="AN1" s="754"/>
      <c r="AO1" s="752" t="s">
        <v>1130</v>
      </c>
      <c r="AP1" s="752"/>
      <c r="AQ1" s="777" t="s">
        <v>1213</v>
      </c>
      <c r="AR1" s="777"/>
      <c r="AS1" s="754" t="s">
        <v>1129</v>
      </c>
      <c r="AT1" s="754"/>
      <c r="AU1" s="752" t="s">
        <v>1175</v>
      </c>
      <c r="AV1" s="752"/>
      <c r="AW1" s="777" t="s">
        <v>1210</v>
      </c>
      <c r="AX1" s="777"/>
      <c r="AY1" s="752" t="s">
        <v>1236</v>
      </c>
      <c r="AZ1" s="752"/>
      <c r="BA1" s="777" t="s">
        <v>1210</v>
      </c>
      <c r="BB1" s="777"/>
      <c r="BC1" s="754" t="s">
        <v>816</v>
      </c>
      <c r="BD1" s="754"/>
      <c r="BE1" s="752" t="s">
        <v>1203</v>
      </c>
      <c r="BF1" s="752"/>
      <c r="BG1" s="777" t="s">
        <v>1211</v>
      </c>
      <c r="BH1" s="777"/>
      <c r="BI1" s="754" t="s">
        <v>816</v>
      </c>
      <c r="BJ1" s="754"/>
      <c r="BK1" s="752" t="s">
        <v>1203</v>
      </c>
      <c r="BL1" s="752"/>
      <c r="BM1" s="777" t="s">
        <v>1221</v>
      </c>
      <c r="BN1" s="777"/>
      <c r="BO1" s="754" t="s">
        <v>816</v>
      </c>
      <c r="BP1" s="754"/>
      <c r="BQ1" s="752" t="s">
        <v>1239</v>
      </c>
      <c r="BR1" s="752"/>
      <c r="BS1" s="777" t="s">
        <v>1238</v>
      </c>
      <c r="BT1" s="777"/>
      <c r="BU1" s="754" t="s">
        <v>816</v>
      </c>
      <c r="BV1" s="754"/>
      <c r="BW1" s="752" t="s">
        <v>1243</v>
      </c>
      <c r="BX1" s="752"/>
      <c r="BY1" s="777" t="s">
        <v>1265</v>
      </c>
      <c r="BZ1" s="777"/>
      <c r="CA1" s="754" t="s">
        <v>816</v>
      </c>
      <c r="CB1" s="754"/>
      <c r="CC1" s="752" t="s">
        <v>1239</v>
      </c>
      <c r="CD1" s="752"/>
      <c r="CE1" s="777" t="s">
        <v>1286</v>
      </c>
      <c r="CF1" s="777"/>
      <c r="CG1" s="754" t="s">
        <v>816</v>
      </c>
      <c r="CH1" s="754"/>
      <c r="CI1" s="752" t="s">
        <v>1243</v>
      </c>
      <c r="CJ1" s="752"/>
      <c r="CK1" s="777" t="s">
        <v>1302</v>
      </c>
      <c r="CL1" s="777"/>
      <c r="CM1" s="754" t="s">
        <v>816</v>
      </c>
      <c r="CN1" s="754"/>
      <c r="CO1" s="752" t="s">
        <v>1239</v>
      </c>
      <c r="CP1" s="752"/>
      <c r="CQ1" s="777" t="s">
        <v>1330</v>
      </c>
      <c r="CR1" s="777"/>
      <c r="CS1" s="778" t="s">
        <v>816</v>
      </c>
      <c r="CT1" s="778"/>
      <c r="CU1" s="752" t="s">
        <v>1386</v>
      </c>
      <c r="CV1" s="752"/>
      <c r="CW1" s="777" t="s">
        <v>1369</v>
      </c>
      <c r="CX1" s="777"/>
      <c r="CY1" s="778" t="s">
        <v>816</v>
      </c>
      <c r="CZ1" s="778"/>
      <c r="DA1" s="752" t="s">
        <v>1592</v>
      </c>
      <c r="DB1" s="752"/>
      <c r="DC1" s="777" t="s">
        <v>1389</v>
      </c>
      <c r="DD1" s="777"/>
      <c r="DE1" s="778" t="s">
        <v>816</v>
      </c>
      <c r="DF1" s="778"/>
      <c r="DG1" s="752" t="s">
        <v>1486</v>
      </c>
      <c r="DH1" s="752"/>
      <c r="DI1" s="777" t="s">
        <v>1589</v>
      </c>
      <c r="DJ1" s="777"/>
      <c r="DK1" s="778" t="s">
        <v>816</v>
      </c>
      <c r="DL1" s="778"/>
      <c r="DM1" s="752" t="s">
        <v>1386</v>
      </c>
      <c r="DN1" s="752"/>
      <c r="DO1" s="777" t="s">
        <v>1590</v>
      </c>
      <c r="DP1" s="777"/>
      <c r="DQ1" s="778" t="s">
        <v>816</v>
      </c>
      <c r="DR1" s="778"/>
      <c r="DS1" s="752" t="s">
        <v>1585</v>
      </c>
      <c r="DT1" s="752"/>
      <c r="DU1" s="777" t="s">
        <v>1591</v>
      </c>
      <c r="DV1" s="777"/>
      <c r="DW1" s="778" t="s">
        <v>816</v>
      </c>
      <c r="DX1" s="778"/>
      <c r="DY1" s="752" t="s">
        <v>1611</v>
      </c>
      <c r="DZ1" s="752"/>
      <c r="EA1" s="776" t="s">
        <v>1606</v>
      </c>
      <c r="EB1" s="776"/>
      <c r="EC1" s="778" t="s">
        <v>816</v>
      </c>
      <c r="ED1" s="778"/>
      <c r="EE1" s="752" t="s">
        <v>1585</v>
      </c>
      <c r="EF1" s="752"/>
      <c r="EG1" s="454"/>
      <c r="EH1" s="776" t="s">
        <v>1636</v>
      </c>
      <c r="EI1" s="776"/>
      <c r="EJ1" s="778" t="s">
        <v>816</v>
      </c>
      <c r="EK1" s="778"/>
      <c r="EL1" s="752" t="s">
        <v>1669</v>
      </c>
      <c r="EM1" s="752"/>
      <c r="EN1" s="776" t="s">
        <v>1661</v>
      </c>
      <c r="EO1" s="776"/>
      <c r="EP1" s="778" t="s">
        <v>816</v>
      </c>
      <c r="EQ1" s="778"/>
      <c r="ER1" s="752" t="s">
        <v>1709</v>
      </c>
      <c r="ES1" s="752"/>
      <c r="ET1" s="776" t="s">
        <v>1702</v>
      </c>
      <c r="EU1" s="776"/>
      <c r="EV1" s="778" t="s">
        <v>816</v>
      </c>
      <c r="EW1" s="778"/>
      <c r="EX1" s="752" t="s">
        <v>1611</v>
      </c>
      <c r="EY1" s="752"/>
      <c r="EZ1" s="776" t="s">
        <v>1737</v>
      </c>
      <c r="FA1" s="776"/>
      <c r="FB1" s="778" t="s">
        <v>816</v>
      </c>
      <c r="FC1" s="778"/>
      <c r="FD1" s="752" t="s">
        <v>1592</v>
      </c>
      <c r="FE1" s="752"/>
      <c r="FF1" s="776" t="s">
        <v>1776</v>
      </c>
      <c r="FG1" s="776"/>
      <c r="FH1" s="778" t="s">
        <v>816</v>
      </c>
      <c r="FI1" s="778"/>
      <c r="FJ1" s="752" t="s">
        <v>1386</v>
      </c>
      <c r="FK1" s="752"/>
      <c r="FL1" s="776" t="s">
        <v>1811</v>
      </c>
      <c r="FM1" s="776"/>
      <c r="FN1" s="778" t="s">
        <v>816</v>
      </c>
      <c r="FO1" s="778"/>
      <c r="FP1" s="752" t="s">
        <v>1858</v>
      </c>
      <c r="FQ1" s="752"/>
      <c r="FR1" s="776" t="s">
        <v>1847</v>
      </c>
      <c r="FS1" s="776"/>
      <c r="FT1" s="778" t="s">
        <v>816</v>
      </c>
      <c r="FU1" s="778"/>
      <c r="FV1" s="752" t="s">
        <v>1858</v>
      </c>
      <c r="FW1" s="752"/>
      <c r="FX1" s="776" t="s">
        <v>1960</v>
      </c>
      <c r="FY1" s="776"/>
      <c r="FZ1" s="778" t="s">
        <v>816</v>
      </c>
      <c r="GA1" s="778"/>
      <c r="GB1" s="752" t="s">
        <v>1611</v>
      </c>
      <c r="GC1" s="752"/>
      <c r="GD1" s="776" t="s">
        <v>1961</v>
      </c>
      <c r="GE1" s="776"/>
      <c r="GF1" s="778" t="s">
        <v>816</v>
      </c>
      <c r="GG1" s="778"/>
      <c r="GH1" s="752" t="s">
        <v>1585</v>
      </c>
      <c r="GI1" s="752"/>
      <c r="GJ1" s="776" t="s">
        <v>1970</v>
      </c>
      <c r="GK1" s="776"/>
      <c r="GL1" s="778" t="s">
        <v>816</v>
      </c>
      <c r="GM1" s="778"/>
      <c r="GN1" s="752" t="s">
        <v>1585</v>
      </c>
      <c r="GO1" s="752"/>
      <c r="GP1" s="776" t="s">
        <v>2012</v>
      </c>
      <c r="GQ1" s="776"/>
      <c r="GR1" s="778" t="s">
        <v>816</v>
      </c>
      <c r="GS1" s="778"/>
      <c r="GT1" s="752" t="s">
        <v>1669</v>
      </c>
      <c r="GU1" s="752"/>
      <c r="GV1" s="776" t="s">
        <v>2041</v>
      </c>
      <c r="GW1" s="776"/>
      <c r="GX1" s="778" t="s">
        <v>816</v>
      </c>
      <c r="GY1" s="778"/>
      <c r="GZ1" s="752" t="s">
        <v>2080</v>
      </c>
      <c r="HA1" s="752"/>
      <c r="HB1" s="776" t="s">
        <v>2100</v>
      </c>
      <c r="HC1" s="776"/>
      <c r="HD1" s="778" t="s">
        <v>816</v>
      </c>
      <c r="HE1" s="778"/>
      <c r="HF1" s="752" t="s">
        <v>1709</v>
      </c>
      <c r="HG1" s="752"/>
      <c r="HH1" s="776" t="s">
        <v>2113</v>
      </c>
      <c r="HI1" s="776"/>
      <c r="HJ1" s="778" t="s">
        <v>816</v>
      </c>
      <c r="HK1" s="778"/>
      <c r="HL1" s="752" t="s">
        <v>1386</v>
      </c>
      <c r="HM1" s="752"/>
      <c r="HN1" s="776" t="s">
        <v>2159</v>
      </c>
      <c r="HO1" s="776"/>
      <c r="HP1" s="778" t="s">
        <v>816</v>
      </c>
      <c r="HQ1" s="778"/>
      <c r="HR1" s="752" t="s">
        <v>1386</v>
      </c>
      <c r="HS1" s="752"/>
      <c r="HT1" s="776" t="s">
        <v>2194</v>
      </c>
      <c r="HU1" s="776"/>
      <c r="HV1" s="778" t="s">
        <v>816</v>
      </c>
      <c r="HW1" s="778"/>
      <c r="HX1" s="752" t="s">
        <v>1611</v>
      </c>
      <c r="HY1" s="752"/>
      <c r="HZ1" s="776" t="s">
        <v>2239</v>
      </c>
      <c r="IA1" s="776"/>
      <c r="IB1" s="778" t="s">
        <v>816</v>
      </c>
      <c r="IC1" s="778"/>
      <c r="ID1" s="752" t="s">
        <v>1709</v>
      </c>
      <c r="IE1" s="752"/>
      <c r="IF1" s="776" t="s">
        <v>2304</v>
      </c>
      <c r="IG1" s="776"/>
      <c r="IH1" s="778" t="s">
        <v>816</v>
      </c>
      <c r="II1" s="778"/>
      <c r="IJ1" s="752" t="s">
        <v>1585</v>
      </c>
      <c r="IK1" s="752"/>
      <c r="IL1" s="776" t="s">
        <v>2373</v>
      </c>
      <c r="IM1" s="776"/>
      <c r="IN1" s="778" t="s">
        <v>816</v>
      </c>
      <c r="IO1" s="778"/>
      <c r="IP1" s="752" t="s">
        <v>1611</v>
      </c>
      <c r="IQ1" s="752"/>
      <c r="IR1" s="776" t="s">
        <v>2530</v>
      </c>
      <c r="IS1" s="776"/>
      <c r="IT1" s="778" t="s">
        <v>816</v>
      </c>
      <c r="IU1" s="778"/>
      <c r="IV1" s="752" t="s">
        <v>1742</v>
      </c>
      <c r="IW1" s="752"/>
      <c r="IX1" s="776" t="s">
        <v>2529</v>
      </c>
      <c r="IY1" s="776"/>
      <c r="IZ1" s="778" t="s">
        <v>816</v>
      </c>
      <c r="JA1" s="778"/>
      <c r="JB1" s="752" t="s">
        <v>1858</v>
      </c>
      <c r="JC1" s="752"/>
      <c r="JD1" s="776" t="s">
        <v>2566</v>
      </c>
      <c r="JE1" s="776"/>
      <c r="JF1" s="778" t="s">
        <v>816</v>
      </c>
      <c r="JG1" s="778"/>
      <c r="JH1" s="752" t="s">
        <v>1742</v>
      </c>
      <c r="JI1" s="752"/>
      <c r="JJ1" s="776" t="s">
        <v>2609</v>
      </c>
      <c r="JK1" s="776"/>
      <c r="JL1" s="455" t="s">
        <v>816</v>
      </c>
      <c r="JM1" s="455"/>
      <c r="JN1" s="454" t="s">
        <v>1742</v>
      </c>
      <c r="JO1" s="454"/>
      <c r="JP1" s="776" t="s">
        <v>2661</v>
      </c>
      <c r="JQ1" s="776"/>
      <c r="JR1" s="455" t="s">
        <v>816</v>
      </c>
      <c r="JS1" s="455"/>
      <c r="JT1" s="454" t="s">
        <v>1669</v>
      </c>
      <c r="JU1" s="454"/>
      <c r="JV1" s="776" t="s">
        <v>2706</v>
      </c>
      <c r="JW1" s="776"/>
      <c r="JX1" s="455" t="s">
        <v>816</v>
      </c>
      <c r="JY1" s="455"/>
      <c r="JZ1" s="454" t="s">
        <v>2974</v>
      </c>
      <c r="KA1" s="454"/>
      <c r="KB1" s="776" t="s">
        <v>2800</v>
      </c>
      <c r="KC1" s="776"/>
      <c r="KD1" s="455" t="s">
        <v>816</v>
      </c>
      <c r="KE1" s="455"/>
      <c r="KF1" s="454" t="s">
        <v>1386</v>
      </c>
      <c r="KG1" s="454"/>
      <c r="KH1" s="776" t="s">
        <v>2847</v>
      </c>
      <c r="KI1" s="776"/>
      <c r="KJ1" s="455" t="s">
        <v>816</v>
      </c>
      <c r="KK1" s="455"/>
      <c r="KL1" s="454" t="s">
        <v>1585</v>
      </c>
      <c r="KM1" s="454"/>
      <c r="KN1" s="776" t="s">
        <v>2960</v>
      </c>
      <c r="KO1" s="776"/>
      <c r="KP1" s="455" t="s">
        <v>816</v>
      </c>
      <c r="KQ1" s="455"/>
      <c r="KR1" s="454" t="s">
        <v>1585</v>
      </c>
      <c r="KS1" s="454"/>
      <c r="KT1" s="776" t="s">
        <v>3027</v>
      </c>
      <c r="KU1" s="776"/>
      <c r="KV1" s="455" t="s">
        <v>816</v>
      </c>
      <c r="KW1" s="455"/>
      <c r="KX1" s="611" t="s">
        <v>1585</v>
      </c>
      <c r="KY1" s="454"/>
      <c r="KZ1" s="776" t="s">
        <v>3084</v>
      </c>
      <c r="LA1" s="776"/>
      <c r="LB1" s="613" t="s">
        <v>816</v>
      </c>
      <c r="LC1" s="613"/>
      <c r="LD1" s="611" t="s">
        <v>1742</v>
      </c>
      <c r="LE1" s="611"/>
      <c r="LF1" s="776" t="s">
        <v>3147</v>
      </c>
      <c r="LG1" s="776"/>
      <c r="LH1" s="646" t="s">
        <v>816</v>
      </c>
      <c r="LI1" s="646"/>
      <c r="LJ1" s="644" t="s">
        <v>1742</v>
      </c>
      <c r="LK1" s="644"/>
      <c r="LL1" s="776" t="s">
        <v>3192</v>
      </c>
      <c r="LM1" s="776"/>
      <c r="LN1" s="676" t="s">
        <v>816</v>
      </c>
      <c r="LO1" s="689"/>
      <c r="LP1" s="674" t="s">
        <v>1742</v>
      </c>
      <c r="LQ1" s="674"/>
      <c r="LR1" s="776" t="s">
        <v>3319</v>
      </c>
      <c r="LS1" s="776"/>
      <c r="LT1" s="727" t="s">
        <v>816</v>
      </c>
      <c r="LU1" s="689"/>
      <c r="LV1" s="725" t="s">
        <v>1742</v>
      </c>
      <c r="LW1" s="725"/>
      <c r="LX1" s="776" t="s">
        <v>3320</v>
      </c>
      <c r="LY1" s="776"/>
    </row>
    <row r="2" spans="1:338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1237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1940</v>
      </c>
      <c r="FY2" s="259">
        <f>FY3+FW14</f>
        <v>201710.53</v>
      </c>
      <c r="FZ2" s="197"/>
      <c r="GD2" s="340" t="s">
        <v>1940</v>
      </c>
      <c r="GE2" s="259">
        <f>GE3+(FY2-FY3+GC15)</f>
        <v>232108.07</v>
      </c>
      <c r="GF2" s="197"/>
      <c r="GL2" s="197"/>
      <c r="GP2" s="340" t="s">
        <v>2143</v>
      </c>
      <c r="GQ2" s="259">
        <f>GQ3-SUM(GQ38:GQ40)</f>
        <v>4523.6810000000114</v>
      </c>
      <c r="GR2" s="197"/>
      <c r="GV2" s="340" t="s">
        <v>2143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2143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2143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2143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2143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2143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1882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1882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1882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1882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1882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1882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1882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1882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1882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2948</v>
      </c>
      <c r="KI2" s="259">
        <f>KI4+KI3-SUM(KI5:KI6)</f>
        <v>80796.44</v>
      </c>
      <c r="KJ2" s="340" t="s">
        <v>2978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2948</v>
      </c>
      <c r="KO2" s="446">
        <f>SUM(KO3:KO4)-KO9</f>
        <v>44555.639999999956</v>
      </c>
      <c r="KP2" s="340" t="s">
        <v>2978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2966</v>
      </c>
      <c r="KU2" s="259">
        <v>-50000</v>
      </c>
      <c r="KV2" s="340" t="s">
        <v>2978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2990</v>
      </c>
      <c r="LA2" s="311">
        <f>SUM(LA7:LA33)</f>
        <v>325738.49000000005</v>
      </c>
      <c r="LB2" s="616" t="s">
        <v>2978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2990</v>
      </c>
      <c r="LG2" s="311">
        <f>SUM(LG6:LG32)</f>
        <v>315756.62</v>
      </c>
      <c r="LH2" s="647" t="s">
        <v>2978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7" t="s">
        <v>2990</v>
      </c>
      <c r="LM2" s="311">
        <f>SUM(LM6:LM35)</f>
        <v>356020.91</v>
      </c>
      <c r="LN2" s="677" t="s">
        <v>2978</v>
      </c>
      <c r="LO2" s="320">
        <f>SUM(LO3:LO28)</f>
        <v>41120.020999999993</v>
      </c>
      <c r="LP2" s="203" t="s">
        <v>296</v>
      </c>
      <c r="LQ2" s="698">
        <f>LO2+LM2-LS2</f>
        <v>18626.74099999998</v>
      </c>
      <c r="LR2" s="677" t="s">
        <v>2990</v>
      </c>
      <c r="LS2" s="311">
        <f>SUM(LS8:LS36)</f>
        <v>378514.19</v>
      </c>
      <c r="LT2" s="728" t="s">
        <v>2978</v>
      </c>
      <c r="LU2" s="395">
        <f>SUM(LU4:LU23)</f>
        <v>0</v>
      </c>
      <c r="LV2" s="203" t="s">
        <v>296</v>
      </c>
      <c r="LW2" s="698">
        <f>LU2+LS2-LY2</f>
        <v>0</v>
      </c>
      <c r="LX2" s="728" t="s">
        <v>2990</v>
      </c>
      <c r="LY2" s="311">
        <f>SUM(LY8:LY36)</f>
        <v>378514.19</v>
      </c>
    </row>
    <row r="3" spans="1:338">
      <c r="A3" s="799" t="s">
        <v>991</v>
      </c>
      <c r="B3" s="799"/>
      <c r="E3" s="170" t="s">
        <v>233</v>
      </c>
      <c r="F3" s="174">
        <f>F2-F4</f>
        <v>17</v>
      </c>
      <c r="G3" s="799" t="s">
        <v>991</v>
      </c>
      <c r="H3" s="799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1176</v>
      </c>
      <c r="R3" s="240">
        <f>R2-R7</f>
        <v>1290.8099999999995</v>
      </c>
      <c r="S3" s="461" t="s">
        <v>994</v>
      </c>
      <c r="T3" s="462"/>
      <c r="W3" s="171" t="s">
        <v>1176</v>
      </c>
      <c r="X3" s="240">
        <f>X2-X7</f>
        <v>3163.5489999999995</v>
      </c>
      <c r="Y3" s="461" t="s">
        <v>994</v>
      </c>
      <c r="Z3" s="462"/>
      <c r="AC3" s="171" t="s">
        <v>1176</v>
      </c>
      <c r="AD3" s="240">
        <f>AD2-AD6</f>
        <v>1487.7609999999995</v>
      </c>
      <c r="AE3" s="461" t="s">
        <v>994</v>
      </c>
      <c r="AF3" s="462"/>
      <c r="AI3" s="171" t="s">
        <v>1176</v>
      </c>
      <c r="AJ3" s="240">
        <f>AJ2-AJ6</f>
        <v>1545.6700000000055</v>
      </c>
      <c r="AK3" s="461" t="s">
        <v>994</v>
      </c>
      <c r="AL3" s="462"/>
      <c r="AO3" s="171" t="s">
        <v>1176</v>
      </c>
      <c r="AP3" s="240">
        <f>AP2-AP6</f>
        <v>7455.0509999999995</v>
      </c>
      <c r="AQ3" s="461" t="s">
        <v>994</v>
      </c>
      <c r="AR3" s="462"/>
      <c r="AU3" s="170" t="s">
        <v>1176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1176</v>
      </c>
      <c r="BF3" s="240">
        <f>BF2-BF6</f>
        <v>3846.3210000000108</v>
      </c>
      <c r="BG3" s="461" t="s">
        <v>994</v>
      </c>
      <c r="BH3" s="462"/>
      <c r="BK3" s="253" t="s">
        <v>1176</v>
      </c>
      <c r="BL3" s="252">
        <f>BL2-BL6</f>
        <v>1986.3499999999869</v>
      </c>
      <c r="BM3" s="461" t="s">
        <v>994</v>
      </c>
      <c r="BN3" s="462"/>
      <c r="BQ3" s="253" t="s">
        <v>1176</v>
      </c>
      <c r="BR3" s="252">
        <f>BR2-BR6</f>
        <v>2641.1200000000076</v>
      </c>
      <c r="BS3" s="461" t="s">
        <v>994</v>
      </c>
      <c r="BT3" s="377"/>
      <c r="BW3" s="253" t="s">
        <v>1176</v>
      </c>
      <c r="BX3" s="252">
        <f>BX2-BX6</f>
        <v>2767.6290000000081</v>
      </c>
      <c r="BY3" s="461" t="s">
        <v>994</v>
      </c>
      <c r="BZ3" s="462"/>
      <c r="CC3" s="253" t="s">
        <v>1176</v>
      </c>
      <c r="CD3" s="252">
        <f>CD2-CD6</f>
        <v>2896.2299999999977</v>
      </c>
      <c r="CE3" s="461" t="s">
        <v>994</v>
      </c>
      <c r="CF3" s="462"/>
      <c r="CI3" s="253" t="s">
        <v>1176</v>
      </c>
      <c r="CJ3" s="252">
        <f>CJ2-CJ6</f>
        <v>3338.7009999999827</v>
      </c>
      <c r="CK3" s="461" t="s">
        <v>994</v>
      </c>
      <c r="CL3" s="462"/>
      <c r="CO3" s="253" t="s">
        <v>1176</v>
      </c>
      <c r="CP3" s="252">
        <f>CP2-CP6</f>
        <v>2095.6600000000094</v>
      </c>
      <c r="CQ3" s="461" t="s">
        <v>994</v>
      </c>
      <c r="CR3" s="462"/>
      <c r="CU3" s="253" t="s">
        <v>1176</v>
      </c>
      <c r="CV3" s="252">
        <f>CV2-CV6</f>
        <v>3172.9400000000114</v>
      </c>
      <c r="CW3" s="461" t="s">
        <v>994</v>
      </c>
      <c r="CX3" s="462"/>
      <c r="DA3" s="217" t="s">
        <v>1176</v>
      </c>
      <c r="DB3" s="252">
        <f>DB2-DB6</f>
        <v>4604.6600000000053</v>
      </c>
      <c r="DC3" s="461" t="s">
        <v>994</v>
      </c>
      <c r="DD3" s="462"/>
      <c r="DG3" s="217" t="s">
        <v>1176</v>
      </c>
      <c r="DH3" s="274">
        <f>DH2-DH6</f>
        <v>6875.0489999999863</v>
      </c>
      <c r="DI3" s="461" t="s">
        <v>994</v>
      </c>
      <c r="DJ3" s="462"/>
      <c r="DM3" s="217" t="s">
        <v>1176</v>
      </c>
      <c r="DN3" s="274">
        <f>DN2-DN6</f>
        <v>4726.7400000000016</v>
      </c>
      <c r="DO3" s="461" t="s">
        <v>1500</v>
      </c>
      <c r="DP3" s="462">
        <v>1597</v>
      </c>
      <c r="DS3" s="204" t="s">
        <v>1176</v>
      </c>
      <c r="DT3" s="263">
        <f>DT2-DT7</f>
        <v>12719.120000000024</v>
      </c>
      <c r="DU3" s="461" t="s">
        <v>1522</v>
      </c>
      <c r="DV3" s="462">
        <v>784</v>
      </c>
      <c r="DY3" s="340" t="s">
        <v>1176</v>
      </c>
      <c r="DZ3" s="263">
        <f>DZ2-DZ6</f>
        <v>2984.0000000000027</v>
      </c>
      <c r="EA3" s="461" t="s">
        <v>1522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1625</v>
      </c>
      <c r="EI3" s="285">
        <v>-360</v>
      </c>
      <c r="EL3" s="340" t="s">
        <v>1176</v>
      </c>
      <c r="EM3" s="263">
        <f>EM2-EM6</f>
        <v>3430.2000000000189</v>
      </c>
      <c r="EN3" s="285" t="s">
        <v>1625</v>
      </c>
      <c r="EO3" s="285">
        <v>-1059</v>
      </c>
      <c r="ER3" s="340" t="s">
        <v>1719</v>
      </c>
      <c r="ES3" s="263">
        <f>ES2-ES6</f>
        <v>5040.3799999999919</v>
      </c>
      <c r="ET3" s="285" t="s">
        <v>1625</v>
      </c>
      <c r="EU3" s="285">
        <v>-2168</v>
      </c>
      <c r="EX3" s="340" t="s">
        <v>1982</v>
      </c>
      <c r="EY3" s="263">
        <f>EY2-EY6</f>
        <v>3574.4209999999985</v>
      </c>
      <c r="EZ3" s="285" t="s">
        <v>1625</v>
      </c>
      <c r="FA3" s="285">
        <v>-1778</v>
      </c>
      <c r="FD3" s="340" t="s">
        <v>1982</v>
      </c>
      <c r="FE3" s="263">
        <f>FE2-FE6</f>
        <v>3502.921000000008</v>
      </c>
      <c r="FF3" s="285" t="s">
        <v>1625</v>
      </c>
      <c r="FG3" s="285">
        <v>-1252</v>
      </c>
      <c r="FJ3" s="340" t="s">
        <v>1982</v>
      </c>
      <c r="FK3" s="263">
        <f>FK2-FK6</f>
        <v>3295.199999999998</v>
      </c>
      <c r="FL3" s="340" t="s">
        <v>1800</v>
      </c>
      <c r="FM3" s="259">
        <v>160000</v>
      </c>
      <c r="FP3" s="340" t="s">
        <v>1982</v>
      </c>
      <c r="FQ3" s="263">
        <f>FQ2-FQ7-FQ6</f>
        <v>4761.7000000000071</v>
      </c>
      <c r="FR3" s="340" t="s">
        <v>1800</v>
      </c>
      <c r="FS3" s="259">
        <v>198000</v>
      </c>
      <c r="FV3" s="340" t="s">
        <v>1982</v>
      </c>
      <c r="FW3" s="263">
        <f>FW2-FW7-FW6</f>
        <v>5622.1610000000019</v>
      </c>
      <c r="FX3" s="340" t="s">
        <v>1882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1882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1882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2140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2140</v>
      </c>
      <c r="GW3" s="311">
        <f>SUM(GW4:GW32)</f>
        <v>62070.49</v>
      </c>
      <c r="GZ3" s="340" t="s">
        <v>1982</v>
      </c>
      <c r="HA3" s="263">
        <f>HA2-HA7-HA6</f>
        <v>6840.9766666666601</v>
      </c>
      <c r="HB3" s="340" t="s">
        <v>2140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2320</v>
      </c>
      <c r="HG3" s="240">
        <f>HG2-HG8-HG7</f>
        <v>22350.936666666661</v>
      </c>
      <c r="HH3" s="340" t="s">
        <v>2140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2320</v>
      </c>
      <c r="HM3" s="259">
        <f>HM2-HK25-HK24</f>
        <v>23006.927666666677</v>
      </c>
      <c r="HN3" s="340" t="s">
        <v>2160</v>
      </c>
      <c r="HO3" s="311">
        <f>SUM(HO4:HO29)</f>
        <v>38440.06</v>
      </c>
      <c r="HP3" s="340" t="s">
        <v>633</v>
      </c>
      <c r="HQ3" s="340">
        <v>15123.78</v>
      </c>
      <c r="HR3" s="340" t="s">
        <v>1982</v>
      </c>
      <c r="HS3" s="260">
        <f>HS2-HQ28-HQ27-HS38</f>
        <v>3995.2866666666582</v>
      </c>
      <c r="HT3" s="340" t="s">
        <v>2140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2316</v>
      </c>
      <c r="HY3" s="260"/>
      <c r="HZ3" s="340" t="s">
        <v>2283</v>
      </c>
      <c r="IA3" s="311">
        <f>SUM(IA6:IA39)</f>
        <v>539306.65</v>
      </c>
      <c r="IB3" s="340" t="s">
        <v>633</v>
      </c>
      <c r="IC3" s="320">
        <v>15104.63</v>
      </c>
      <c r="ID3" s="203" t="s">
        <v>2320</v>
      </c>
      <c r="IE3" s="260">
        <f>IE2-IC26-IC27</f>
        <v>6802.6743333334671</v>
      </c>
      <c r="IF3" s="340" t="s">
        <v>2284</v>
      </c>
      <c r="IG3" s="259">
        <f>$IA$6</f>
        <v>0</v>
      </c>
      <c r="IH3" s="340" t="s">
        <v>633</v>
      </c>
      <c r="II3" s="320">
        <v>15104.63</v>
      </c>
      <c r="IJ3" s="340" t="s">
        <v>1719</v>
      </c>
      <c r="IK3" s="260">
        <f>IK2-II44-II42</f>
        <v>9220.5533333332605</v>
      </c>
      <c r="IL3" s="340" t="s">
        <v>2284</v>
      </c>
      <c r="IM3" s="259">
        <f>$IA$6</f>
        <v>0</v>
      </c>
      <c r="IN3" s="340" t="s">
        <v>633</v>
      </c>
      <c r="IO3" s="463">
        <v>15104.63</v>
      </c>
      <c r="IP3" s="340" t="s">
        <v>2334</v>
      </c>
      <c r="IQ3" s="260">
        <f>IQ2-IO34-IO33</f>
        <v>5631.8933333332407</v>
      </c>
      <c r="IR3" s="340" t="s">
        <v>2284</v>
      </c>
      <c r="IS3" s="259">
        <f>$IA$6</f>
        <v>0</v>
      </c>
      <c r="IT3" s="340" t="s">
        <v>633</v>
      </c>
      <c r="IU3" s="463">
        <v>43151.3</v>
      </c>
      <c r="IV3" s="340" t="s">
        <v>2334</v>
      </c>
      <c r="IW3" s="260">
        <f>IW2-IU24-IU23</f>
        <v>5412.000333333297</v>
      </c>
      <c r="IY3" s="311"/>
      <c r="JA3" s="320"/>
      <c r="JB3" s="340" t="s">
        <v>2334</v>
      </c>
      <c r="JC3" s="260">
        <f>JC2-JA30-JA29</f>
        <v>5095.8330000000415</v>
      </c>
      <c r="JE3" s="311"/>
      <c r="JG3" s="320"/>
      <c r="JH3" s="340" t="s">
        <v>2334</v>
      </c>
      <c r="JI3" s="260">
        <f>JI2-JG29-JG28</f>
        <v>5318.7558739726428</v>
      </c>
      <c r="JK3" s="311"/>
      <c r="JM3" s="320"/>
      <c r="JN3" s="340" t="s">
        <v>2334</v>
      </c>
      <c r="JO3" s="260">
        <f>JO2-JM28-JM27</f>
        <v>7527.189000000023</v>
      </c>
      <c r="JP3" s="340" t="s">
        <v>2679</v>
      </c>
      <c r="JQ3" s="202">
        <f>$IA$6</f>
        <v>0</v>
      </c>
      <c r="JS3" s="320"/>
      <c r="JT3" s="340" t="s">
        <v>2334</v>
      </c>
      <c r="JU3" s="260">
        <f>JU2-JS26-JS25</f>
        <v>4220.0940000000155</v>
      </c>
      <c r="JV3" s="340" t="s">
        <v>2284</v>
      </c>
      <c r="JW3" s="202">
        <f>$IA$6</f>
        <v>0</v>
      </c>
      <c r="JY3" s="320"/>
      <c r="JZ3" s="340" t="s">
        <v>2334</v>
      </c>
      <c r="KA3" s="260">
        <f>KA2-JY41-JY40</f>
        <v>6486.8099999999822</v>
      </c>
      <c r="KB3" s="340" t="s">
        <v>2808</v>
      </c>
      <c r="KC3" s="259">
        <v>-71000</v>
      </c>
      <c r="KE3" s="320"/>
      <c r="KF3" s="340" t="s">
        <v>2334</v>
      </c>
      <c r="KG3" s="260">
        <f>KG2-KE30-KE29</f>
        <v>3005.0550000000767</v>
      </c>
      <c r="KH3" s="340" t="s">
        <v>2863</v>
      </c>
      <c r="KI3" s="259">
        <v>-100000</v>
      </c>
      <c r="KK3" s="320"/>
      <c r="KL3" s="340" t="s">
        <v>2334</v>
      </c>
      <c r="KM3" s="260">
        <f>KM2-KK37-KK36</f>
        <v>5780.6940000000668</v>
      </c>
      <c r="KN3" s="340" t="s">
        <v>2966</v>
      </c>
      <c r="KO3" s="259">
        <v>-50000</v>
      </c>
      <c r="KQ3" s="320"/>
      <c r="KR3" s="340" t="s">
        <v>2334</v>
      </c>
      <c r="KS3" s="260">
        <f>KS2-KQ37-KQ36</f>
        <v>4725.5299999999925</v>
      </c>
      <c r="KT3" s="340" t="s">
        <v>2990</v>
      </c>
      <c r="KU3" s="311">
        <f>SUM(KU10:KU34)</f>
        <v>313986.03999999998</v>
      </c>
      <c r="KW3" s="320"/>
      <c r="KX3" s="340" t="s">
        <v>2334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2334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7" t="s">
        <v>2334</v>
      </c>
      <c r="LK3" s="260">
        <f>LK2-LI32-LI31</f>
        <v>5762.8010000000122</v>
      </c>
      <c r="LL3" s="447">
        <v>7000</v>
      </c>
      <c r="LM3" s="448">
        <v>45342</v>
      </c>
      <c r="LN3" s="677" t="s">
        <v>2982</v>
      </c>
      <c r="LO3" s="463">
        <v>32291.73</v>
      </c>
      <c r="LP3" s="677" t="s">
        <v>2334</v>
      </c>
      <c r="LQ3" s="260">
        <f>LQ2-LO32-LO31</f>
        <v>8226.5109999999804</v>
      </c>
      <c r="LR3" s="686" t="s">
        <v>3221</v>
      </c>
      <c r="LS3" s="259">
        <f>-50000-135000-71200</f>
        <v>-256200</v>
      </c>
      <c r="LU3" s="395"/>
      <c r="LV3" s="728" t="s">
        <v>2334</v>
      </c>
      <c r="LW3" s="260">
        <f>LW2-LU27-LU26</f>
        <v>0</v>
      </c>
      <c r="LX3" s="728" t="s">
        <v>3221</v>
      </c>
      <c r="LY3" s="259">
        <f>-50000-135000-71200</f>
        <v>-256200</v>
      </c>
    </row>
    <row r="4" spans="1:338" ht="12.75" customHeight="1" thickBot="1">
      <c r="A4" s="799"/>
      <c r="B4" s="799"/>
      <c r="E4" s="170" t="s">
        <v>352</v>
      </c>
      <c r="F4" s="174">
        <f>SUM(F14:F57)</f>
        <v>12750</v>
      </c>
      <c r="G4" s="799"/>
      <c r="H4" s="799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1198</v>
      </c>
      <c r="AP4" s="240">
        <f>AP2-AP5</f>
        <v>5.3509999999987485</v>
      </c>
      <c r="AQ4" s="461" t="s">
        <v>432</v>
      </c>
      <c r="AR4" s="462">
        <v>1096</v>
      </c>
      <c r="AU4" s="170" t="s">
        <v>1198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1198</v>
      </c>
      <c r="BF4" s="240">
        <f>BF2-BF5</f>
        <v>18.941000000011172</v>
      </c>
      <c r="BG4" s="461" t="s">
        <v>432</v>
      </c>
      <c r="BH4" s="462">
        <v>916</v>
      </c>
      <c r="BK4" s="253" t="s">
        <v>1198</v>
      </c>
      <c r="BL4" s="252">
        <f>BL2-BL5</f>
        <v>9.8299999999867396</v>
      </c>
      <c r="BM4" s="461" t="s">
        <v>432</v>
      </c>
      <c r="BN4" s="462">
        <v>1684</v>
      </c>
      <c r="BQ4" s="253" t="s">
        <v>1198</v>
      </c>
      <c r="BR4" s="252">
        <f>BR2-BR5</f>
        <v>7.5800000000072032</v>
      </c>
      <c r="BS4" s="461" t="s">
        <v>432</v>
      </c>
      <c r="BT4" s="377">
        <v>1251</v>
      </c>
      <c r="BW4" s="253" t="s">
        <v>1198</v>
      </c>
      <c r="BX4" s="252">
        <f>BX2-BX5</f>
        <v>2.0890000000072177</v>
      </c>
      <c r="BY4" s="461" t="s">
        <v>432</v>
      </c>
      <c r="BZ4" s="462">
        <v>1449</v>
      </c>
      <c r="CC4" s="253" t="s">
        <v>1198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1198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1198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1198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1198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1198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1198</v>
      </c>
      <c r="DN4" s="274">
        <f>DN2-DN5</f>
        <v>10.819999999999709</v>
      </c>
      <c r="DO4" s="461" t="s">
        <v>1501</v>
      </c>
      <c r="DP4" s="462">
        <v>11789</v>
      </c>
      <c r="DQ4" s="217" t="s">
        <v>633</v>
      </c>
      <c r="DR4" s="252">
        <v>14054.71</v>
      </c>
      <c r="DS4" s="204" t="s">
        <v>1621</v>
      </c>
      <c r="DT4" s="326">
        <f>DT3-DT24</f>
        <v>2378.5700000000252</v>
      </c>
      <c r="DU4" s="461" t="s">
        <v>1501</v>
      </c>
      <c r="DV4" s="462">
        <v>2251</v>
      </c>
      <c r="DW4" s="340" t="s">
        <v>633</v>
      </c>
      <c r="DX4" s="240">
        <v>14054.71</v>
      </c>
      <c r="DY4" s="340" t="s">
        <v>1198</v>
      </c>
      <c r="DZ4" s="263">
        <f>DZ2-DZ5</f>
        <v>2.1700000000028012</v>
      </c>
      <c r="EA4" s="461" t="s">
        <v>1501</v>
      </c>
      <c r="EB4" s="218">
        <v>9686</v>
      </c>
      <c r="EC4" s="340" t="s">
        <v>633</v>
      </c>
      <c r="ED4" s="240">
        <v>14054.71</v>
      </c>
      <c r="EE4" s="340" t="s">
        <v>1198</v>
      </c>
      <c r="EF4" s="263">
        <f>EF2-EF5</f>
        <v>5.1399999999721331</v>
      </c>
      <c r="EG4" s="263"/>
      <c r="EH4" s="285" t="s">
        <v>1626</v>
      </c>
      <c r="EI4" s="285">
        <v>1E-3</v>
      </c>
      <c r="EJ4" s="340" t="s">
        <v>633</v>
      </c>
      <c r="EK4" s="240">
        <v>14054.71</v>
      </c>
      <c r="EL4" s="340" t="s">
        <v>1198</v>
      </c>
      <c r="EM4" s="263">
        <f>EM2-EM5</f>
        <v>2.1700000000200816</v>
      </c>
      <c r="EN4" s="285" t="s">
        <v>1626</v>
      </c>
      <c r="EO4" s="285">
        <v>1E-3</v>
      </c>
      <c r="EP4" s="340" t="s">
        <v>633</v>
      </c>
      <c r="EQ4" s="240">
        <v>14054.71</v>
      </c>
      <c r="ER4" s="340" t="s">
        <v>1198</v>
      </c>
      <c r="ES4" s="263">
        <f>ES2-ES5</f>
        <v>3.9099999999925785</v>
      </c>
      <c r="ET4" s="285" t="s">
        <v>1626</v>
      </c>
      <c r="EU4" s="285">
        <v>1E-3</v>
      </c>
      <c r="EV4" s="340" t="s">
        <v>633</v>
      </c>
      <c r="EW4" s="240">
        <v>14054.71</v>
      </c>
      <c r="EX4" s="340" t="s">
        <v>1198</v>
      </c>
      <c r="EY4" s="263">
        <f>EY2-EY5</f>
        <v>-1.1690000000007785</v>
      </c>
      <c r="EZ4" s="285" t="s">
        <v>1626</v>
      </c>
      <c r="FA4" s="464">
        <v>9</v>
      </c>
      <c r="FB4" s="340" t="s">
        <v>633</v>
      </c>
      <c r="FC4" s="240">
        <v>14054.71</v>
      </c>
      <c r="FD4" s="340" t="s">
        <v>1198</v>
      </c>
      <c r="FE4" s="263">
        <f>FE2-FE5</f>
        <v>6.0000000000090949</v>
      </c>
      <c r="FF4" s="285" t="s">
        <v>1626</v>
      </c>
      <c r="FG4" s="464">
        <v>7</v>
      </c>
      <c r="FH4" s="340" t="s">
        <v>633</v>
      </c>
      <c r="FI4" s="240">
        <v>14040</v>
      </c>
      <c r="FJ4" s="340" t="s">
        <v>1198</v>
      </c>
      <c r="FK4" s="263">
        <f>FK2-FK5</f>
        <v>8.3399999999983265</v>
      </c>
      <c r="FL4" s="285" t="s">
        <v>1625</v>
      </c>
      <c r="FM4" s="340">
        <v>-1400</v>
      </c>
      <c r="FN4" s="340" t="s">
        <v>633</v>
      </c>
      <c r="FO4" s="240">
        <v>14040.45</v>
      </c>
      <c r="FP4" s="340" t="s">
        <v>1198</v>
      </c>
      <c r="FQ4" s="263">
        <f>FQ2-FQ5</f>
        <v>6.0500000000138243</v>
      </c>
      <c r="FR4" s="285" t="s">
        <v>1625</v>
      </c>
      <c r="FS4" s="340">
        <v>-3496</v>
      </c>
      <c r="FT4" s="340" t="s">
        <v>633</v>
      </c>
      <c r="FU4" s="240">
        <v>14040.45</v>
      </c>
      <c r="FV4" s="340" t="s">
        <v>1198</v>
      </c>
      <c r="FW4" s="263">
        <f>FW2-FW5</f>
        <v>-4.2489999999961583</v>
      </c>
      <c r="FX4" s="340" t="s">
        <v>1874</v>
      </c>
      <c r="FY4" s="259">
        <v>180000</v>
      </c>
      <c r="GB4" s="340" t="s">
        <v>1982</v>
      </c>
      <c r="GC4" s="263">
        <f>GC3-GC8-GC7</f>
        <v>2747.1799999999898</v>
      </c>
      <c r="GD4" s="340" t="s">
        <v>1874</v>
      </c>
      <c r="GE4" s="259">
        <v>145000</v>
      </c>
      <c r="GH4" s="340" t="s">
        <v>1982</v>
      </c>
      <c r="GI4" s="263">
        <f>GI3-GI8-GI7</f>
        <v>5855.1089999999813</v>
      </c>
      <c r="GJ4" s="340" t="s">
        <v>1874</v>
      </c>
      <c r="GK4" s="259">
        <v>164000</v>
      </c>
      <c r="GN4" s="340" t="s">
        <v>1982</v>
      </c>
      <c r="GO4" s="263">
        <f>GO3-GO8-GO7</f>
        <v>4720.0899999999965</v>
      </c>
      <c r="GP4" s="340" t="s">
        <v>1874</v>
      </c>
      <c r="GQ4" s="259">
        <v>176000</v>
      </c>
      <c r="GT4" s="340" t="s">
        <v>1982</v>
      </c>
      <c r="GU4" s="263">
        <f>GU3-GU8-GU7</f>
        <v>2094.1210000000328</v>
      </c>
      <c r="GV4" s="340" t="s">
        <v>1874</v>
      </c>
      <c r="GW4" s="259">
        <v>105000</v>
      </c>
      <c r="GX4" s="340" t="s">
        <v>633</v>
      </c>
      <c r="GY4" s="340">
        <v>15123.78</v>
      </c>
      <c r="GZ4" s="340" t="s">
        <v>1198</v>
      </c>
      <c r="HA4" s="263">
        <f>HA2-HA5</f>
        <v>0.60799999999289867</v>
      </c>
      <c r="HB4" s="340" t="s">
        <v>1874</v>
      </c>
      <c r="HC4" s="259">
        <v>103000</v>
      </c>
      <c r="HF4" s="340" t="s">
        <v>2321</v>
      </c>
      <c r="HG4" s="263">
        <f>HG3-SUM(HG37:HG38)</f>
        <v>1983.4866666666603</v>
      </c>
      <c r="HH4" s="340" t="s">
        <v>1874</v>
      </c>
      <c r="HI4" s="259">
        <v>85000</v>
      </c>
      <c r="HJ4" s="340" t="s">
        <v>633</v>
      </c>
      <c r="HK4" s="340">
        <v>15123.78</v>
      </c>
      <c r="HL4" s="340" t="s">
        <v>2321</v>
      </c>
      <c r="HM4" s="260">
        <f>HM3-HM36</f>
        <v>2246.9276666666774</v>
      </c>
      <c r="HN4" s="340" t="s">
        <v>1874</v>
      </c>
      <c r="HO4" s="259">
        <v>78000</v>
      </c>
      <c r="HP4" s="340" t="s">
        <v>2183</v>
      </c>
      <c r="HQ4" s="340">
        <v>-1437.02</v>
      </c>
      <c r="HR4" s="340" t="s">
        <v>1198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2320</v>
      </c>
      <c r="HY4" s="259">
        <f>HY2-HW25-HW24</f>
        <v>11602.456666666816</v>
      </c>
      <c r="HZ4" s="340" t="s">
        <v>2285</v>
      </c>
      <c r="IA4" s="311"/>
      <c r="IB4" s="340" t="s">
        <v>2288</v>
      </c>
      <c r="IC4" s="320">
        <v>-1437.02</v>
      </c>
      <c r="ID4" s="340" t="s">
        <v>2333</v>
      </c>
      <c r="IE4" s="260">
        <f>IE3-IE59</f>
        <v>3490.8843333334671</v>
      </c>
      <c r="IF4" s="285" t="s">
        <v>1625</v>
      </c>
      <c r="IG4" s="340">
        <v>-192</v>
      </c>
      <c r="IH4" s="340" t="s">
        <v>2358</v>
      </c>
      <c r="II4" s="320">
        <v>-1437.02</v>
      </c>
      <c r="IJ4" s="340" t="s">
        <v>2379</v>
      </c>
      <c r="IK4" s="260">
        <f>IK3-II45</f>
        <v>5752.8033333332605</v>
      </c>
      <c r="IL4" s="285" t="s">
        <v>2222</v>
      </c>
      <c r="IM4" s="318">
        <v>-75000</v>
      </c>
      <c r="IN4" s="340" t="s">
        <v>2358</v>
      </c>
      <c r="IO4" s="320">
        <v>-1437.02</v>
      </c>
      <c r="IP4" s="340" t="s">
        <v>1198</v>
      </c>
      <c r="IQ4" s="263">
        <f>IQ2-IQ5</f>
        <v>2.9699999999083957</v>
      </c>
      <c r="IR4" s="285" t="s">
        <v>2222</v>
      </c>
      <c r="IS4" s="318">
        <v>-75000</v>
      </c>
      <c r="IT4" s="340" t="s">
        <v>2532</v>
      </c>
      <c r="IU4" s="463">
        <v>-1437.02</v>
      </c>
      <c r="IV4" s="340" t="s">
        <v>2379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2379</v>
      </c>
      <c r="JC4" s="260">
        <f>JC3-JA31</f>
        <v>3741.5130000000418</v>
      </c>
      <c r="JE4" s="311"/>
      <c r="JF4" s="340" t="s">
        <v>2982</v>
      </c>
      <c r="JG4" s="463">
        <v>17271.3</v>
      </c>
      <c r="JH4" s="340" t="s">
        <v>1198</v>
      </c>
      <c r="JI4" s="263">
        <f>JI2-JI5</f>
        <v>-0.59412602733937092</v>
      </c>
      <c r="JK4" s="259"/>
      <c r="JL4" s="340" t="s">
        <v>2982</v>
      </c>
      <c r="JM4" s="463">
        <v>17271.3</v>
      </c>
      <c r="JN4" s="340" t="s">
        <v>1198</v>
      </c>
      <c r="JO4" s="263">
        <f>JO2-JO5</f>
        <v>-0.21999999998661224</v>
      </c>
      <c r="JP4" s="340" t="s">
        <v>2633</v>
      </c>
      <c r="JQ4" s="259">
        <f>-71000-140000</f>
        <v>-211000</v>
      </c>
      <c r="JR4" s="340" t="s">
        <v>2982</v>
      </c>
      <c r="JS4" s="463">
        <v>17271.3</v>
      </c>
      <c r="JT4" s="340" t="s">
        <v>1198</v>
      </c>
      <c r="JU4" s="263">
        <f>JU2-JU5</f>
        <v>-8.9999999985593604E-2</v>
      </c>
      <c r="JV4" s="340" t="s">
        <v>2633</v>
      </c>
      <c r="JW4" s="259">
        <f>$JQ$4</f>
        <v>-211000</v>
      </c>
      <c r="JX4" s="340" t="s">
        <v>2983</v>
      </c>
      <c r="JY4" s="463">
        <f>17271.3*2</f>
        <v>34542.6</v>
      </c>
      <c r="JZ4" s="340" t="s">
        <v>1198</v>
      </c>
      <c r="KA4" s="263">
        <f>KA2-KA5</f>
        <v>0.44856871762385708</v>
      </c>
      <c r="KB4" s="340" t="s">
        <v>2809</v>
      </c>
      <c r="KC4" s="259">
        <f>-140000</f>
        <v>-140000</v>
      </c>
      <c r="KD4" s="340" t="s">
        <v>2982</v>
      </c>
      <c r="KE4" s="463">
        <v>17271.3</v>
      </c>
      <c r="KF4" s="340" t="s">
        <v>1198</v>
      </c>
      <c r="KG4" s="263">
        <f>KG2-KG5</f>
        <v>-0.17599999997764826</v>
      </c>
      <c r="KH4" s="340" t="s">
        <v>2973</v>
      </c>
      <c r="KI4" s="311">
        <f>SUM(KI5:KI36)</f>
        <v>337796.44</v>
      </c>
      <c r="KJ4" s="340" t="s">
        <v>2982</v>
      </c>
      <c r="KK4" s="463">
        <v>17211.3</v>
      </c>
      <c r="KL4" s="340" t="s">
        <v>1198</v>
      </c>
      <c r="KM4" s="452">
        <f>KM2-KM5</f>
        <v>0.45000000006257324</v>
      </c>
      <c r="KN4" s="340" t="s">
        <v>2975</v>
      </c>
      <c r="KO4" s="311">
        <f>SUM(KO9:KO38)</f>
        <v>291555.63999999996</v>
      </c>
      <c r="KP4" s="340" t="s">
        <v>2982</v>
      </c>
      <c r="KQ4" s="463">
        <v>17451.73</v>
      </c>
      <c r="KR4" s="340" t="s">
        <v>1198</v>
      </c>
      <c r="KS4" s="263">
        <f>KS2-KS5</f>
        <v>0.6099999999969441</v>
      </c>
      <c r="KT4" s="447">
        <v>7000</v>
      </c>
      <c r="KU4" s="448">
        <v>45342</v>
      </c>
      <c r="KV4" s="340" t="s">
        <v>2982</v>
      </c>
      <c r="KW4" s="463">
        <v>17211.73</v>
      </c>
      <c r="KX4" s="340" t="s">
        <v>1198</v>
      </c>
      <c r="KY4" s="452">
        <f>KY2-KY5</f>
        <v>2.9999999935171218E-2</v>
      </c>
      <c r="KZ4" s="449">
        <v>150000</v>
      </c>
      <c r="LA4" s="450">
        <v>45356</v>
      </c>
      <c r="LB4" s="616" t="s">
        <v>2982</v>
      </c>
      <c r="LC4" s="463">
        <v>17211.73</v>
      </c>
      <c r="LD4" s="616" t="s">
        <v>1198</v>
      </c>
      <c r="LE4" s="452">
        <f>LE2-LE5</f>
        <v>0.27100000004793401</v>
      </c>
      <c r="LF4" s="595" t="s">
        <v>3054</v>
      </c>
      <c r="LG4" s="450" t="s">
        <v>3053</v>
      </c>
      <c r="LH4" s="647" t="s">
        <v>2982</v>
      </c>
      <c r="LI4" s="463">
        <v>46381.73</v>
      </c>
      <c r="LJ4" s="647" t="s">
        <v>1198</v>
      </c>
      <c r="LK4" s="452">
        <f>LK2-LK5</f>
        <v>-8.8999999987208867E-2</v>
      </c>
      <c r="LL4" s="595" t="s">
        <v>3054</v>
      </c>
      <c r="LM4" s="450" t="s">
        <v>3053</v>
      </c>
      <c r="LN4" s="678" t="s">
        <v>2183</v>
      </c>
      <c r="LO4" s="463">
        <v>-200</v>
      </c>
      <c r="LP4" s="677" t="s">
        <v>3299</v>
      </c>
      <c r="LQ4" s="452">
        <f>LQ2-LQ5</f>
        <v>-7.9000000023370376E-2</v>
      </c>
      <c r="LR4" s="489" t="s">
        <v>3222</v>
      </c>
      <c r="LS4" s="697">
        <f>SUM(LS2:LS3)</f>
        <v>122314.19</v>
      </c>
      <c r="LT4" s="728" t="s">
        <v>2982</v>
      </c>
      <c r="LU4" s="277"/>
      <c r="LV4" s="728" t="s">
        <v>3299</v>
      </c>
      <c r="LW4" s="452">
        <f>LW2-LW5</f>
        <v>0</v>
      </c>
      <c r="LX4" s="489" t="s">
        <v>3222</v>
      </c>
      <c r="LY4" s="697">
        <f>SUM(LY2:LY3)</f>
        <v>122314.19</v>
      </c>
    </row>
    <row r="5" spans="1:338">
      <c r="A5" s="461" t="s">
        <v>994</v>
      </c>
      <c r="B5" s="462"/>
      <c r="E5" s="170"/>
      <c r="F5" s="170"/>
      <c r="G5" s="461" t="s">
        <v>994</v>
      </c>
      <c r="H5" s="462"/>
      <c r="I5" s="340" t="s">
        <v>1044</v>
      </c>
      <c r="J5" s="340">
        <v>12933</v>
      </c>
      <c r="K5" s="170"/>
      <c r="M5" s="461" t="s">
        <v>443</v>
      </c>
      <c r="N5" s="462">
        <v>15505</v>
      </c>
      <c r="O5" s="340" t="s">
        <v>2982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2982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2982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2982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1502</v>
      </c>
      <c r="DP5" s="462" t="s">
        <v>642</v>
      </c>
      <c r="DR5" s="263"/>
      <c r="DS5" s="204" t="s">
        <v>1198</v>
      </c>
      <c r="DT5" s="261">
        <f>DT2-DT6</f>
        <v>31.529000000031374</v>
      </c>
      <c r="DU5" s="461" t="s">
        <v>1264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1522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1522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1522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1522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1522</v>
      </c>
      <c r="FG5" s="340">
        <v>1591</v>
      </c>
      <c r="FH5" s="340" t="s">
        <v>1812</v>
      </c>
      <c r="FJ5" s="340" t="s">
        <v>352</v>
      </c>
      <c r="FK5" s="263">
        <f>SUM(FK11:FK46)</f>
        <v>5086.9699999999993</v>
      </c>
      <c r="FL5" s="285" t="s">
        <v>1626</v>
      </c>
      <c r="FM5" s="464">
        <v>97</v>
      </c>
      <c r="FN5" s="340" t="s">
        <v>1833</v>
      </c>
      <c r="FO5" s="240"/>
      <c r="FP5" s="340" t="s">
        <v>352</v>
      </c>
      <c r="FQ5" s="263">
        <f>SUM(FQ12:FQ58)</f>
        <v>17555.769999999993</v>
      </c>
      <c r="FR5" s="285" t="s">
        <v>1626</v>
      </c>
      <c r="FS5" s="464">
        <v>97.53</v>
      </c>
      <c r="FT5" s="340" t="s">
        <v>1889</v>
      </c>
      <c r="FU5" s="240">
        <v>558</v>
      </c>
      <c r="FV5" s="340" t="s">
        <v>352</v>
      </c>
      <c r="FW5" s="263">
        <f>SUM(FW12:FW49)</f>
        <v>76726.42</v>
      </c>
      <c r="FX5" s="340" t="s">
        <v>1890</v>
      </c>
      <c r="FY5" s="259">
        <v>-12000</v>
      </c>
      <c r="FZ5" s="340" t="s">
        <v>1957</v>
      </c>
      <c r="GB5" s="340" t="s">
        <v>1198</v>
      </c>
      <c r="GC5" s="263">
        <f>GC3-GC6</f>
        <v>1.2699999999895226</v>
      </c>
      <c r="GD5" s="340" t="s">
        <v>1890</v>
      </c>
      <c r="GE5" s="259">
        <v>-11000</v>
      </c>
      <c r="GF5" s="340" t="s">
        <v>1944</v>
      </c>
      <c r="GH5" s="340" t="s">
        <v>1198</v>
      </c>
      <c r="GI5" s="263">
        <f>GI3-GI6</f>
        <v>-1.8210000000181026</v>
      </c>
      <c r="GJ5" s="340" t="s">
        <v>1939</v>
      </c>
      <c r="GK5" s="259">
        <v>-10000</v>
      </c>
      <c r="GL5" s="340" t="s">
        <v>633</v>
      </c>
      <c r="GM5" s="340">
        <v>15123.78</v>
      </c>
      <c r="GN5" s="340" t="s">
        <v>1198</v>
      </c>
      <c r="GO5" s="263">
        <f>GO3-GO6</f>
        <v>-4.7600000000029468</v>
      </c>
      <c r="GP5" s="340" t="s">
        <v>1939</v>
      </c>
      <c r="GQ5" s="259">
        <v>-9000</v>
      </c>
      <c r="GR5" s="340" t="s">
        <v>633</v>
      </c>
      <c r="GS5" s="340">
        <v>15123.78</v>
      </c>
      <c r="GT5" s="340" t="s">
        <v>1198</v>
      </c>
      <c r="GU5" s="263">
        <f>GU3-GU6</f>
        <v>-0.27899999996589031</v>
      </c>
      <c r="GV5" s="340" t="s">
        <v>1939</v>
      </c>
      <c r="GW5" s="259">
        <v>-9000</v>
      </c>
      <c r="GX5" s="340" t="s">
        <v>2177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1939</v>
      </c>
      <c r="HC5" s="259">
        <v>-6000</v>
      </c>
      <c r="HD5" s="340" t="s">
        <v>633</v>
      </c>
      <c r="HE5" s="340">
        <v>15123.78</v>
      </c>
      <c r="HF5" s="340" t="s">
        <v>1198</v>
      </c>
      <c r="HG5" s="263">
        <f>HG2-HG6</f>
        <v>-2.2200000000048021</v>
      </c>
      <c r="HH5" s="340" t="s">
        <v>1939</v>
      </c>
      <c r="HI5" s="259">
        <v>-6000</v>
      </c>
      <c r="HJ5" s="340" t="s">
        <v>2177</v>
      </c>
      <c r="HK5" s="340">
        <v>-1437.02</v>
      </c>
      <c r="HL5" s="340" t="s">
        <v>1198</v>
      </c>
      <c r="HM5" s="263">
        <f>HM2-HM6</f>
        <v>-0.18999999998777639</v>
      </c>
      <c r="HN5" s="340" t="s">
        <v>1939</v>
      </c>
      <c r="HO5" s="259">
        <v>-6000</v>
      </c>
      <c r="HP5" s="340" t="s">
        <v>2122</v>
      </c>
      <c r="HQ5" s="340">
        <v>51</v>
      </c>
      <c r="HR5" s="340" t="s">
        <v>352</v>
      </c>
      <c r="HS5" s="260">
        <f>SUM(HS6:HS45)</f>
        <v>8267.1200000000008</v>
      </c>
      <c r="HT5" s="465" t="s">
        <v>1939</v>
      </c>
      <c r="HU5" s="317">
        <f>HO5-HT7</f>
        <v>-13000</v>
      </c>
      <c r="HV5" s="340" t="s">
        <v>2289</v>
      </c>
      <c r="HW5" s="240">
        <v>-1437.02</v>
      </c>
      <c r="HX5" s="340" t="s">
        <v>2317</v>
      </c>
      <c r="HY5" s="260">
        <f>HY4-HY55</f>
        <v>4272.9566666668161</v>
      </c>
      <c r="HZ5" s="340" t="s">
        <v>3030</v>
      </c>
      <c r="IA5" s="311"/>
      <c r="IB5" s="340" t="s">
        <v>1573</v>
      </c>
      <c r="IC5" s="320"/>
      <c r="ID5" s="340" t="s">
        <v>1198</v>
      </c>
      <c r="IE5" s="263">
        <f>IE2-IE6</f>
        <v>-0.92899999987275805</v>
      </c>
      <c r="IF5" s="204" t="s">
        <v>1869</v>
      </c>
      <c r="IG5" s="464">
        <v>14.67</v>
      </c>
      <c r="IH5" s="340" t="s">
        <v>2352</v>
      </c>
      <c r="II5" s="320">
        <v>100</v>
      </c>
      <c r="IJ5" s="340" t="s">
        <v>1198</v>
      </c>
      <c r="IK5" s="263">
        <f>IK2-IK6</f>
        <v>1.0099999999274587</v>
      </c>
      <c r="IL5" s="319" t="s">
        <v>2339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2339</v>
      </c>
      <c r="IS5" s="259">
        <v>0</v>
      </c>
      <c r="IT5" s="340" t="s">
        <v>2488</v>
      </c>
      <c r="IU5" s="320">
        <f>-11-12-13</f>
        <v>-36</v>
      </c>
      <c r="IV5" s="340" t="s">
        <v>1198</v>
      </c>
      <c r="IW5" s="263">
        <f>IW2-IW6</f>
        <v>0.48699999996097176</v>
      </c>
      <c r="IX5" s="340" t="s">
        <v>2284</v>
      </c>
      <c r="IY5" s="259">
        <f>$IA$6</f>
        <v>0</v>
      </c>
      <c r="IZ5" s="340" t="s">
        <v>2532</v>
      </c>
      <c r="JA5" s="463">
        <v>-71</v>
      </c>
      <c r="JB5" s="340" t="s">
        <v>1198</v>
      </c>
      <c r="JC5" s="263">
        <f>JC2-JC6</f>
        <v>-3.9079999999557913</v>
      </c>
      <c r="JD5" s="340" t="s">
        <v>2284</v>
      </c>
      <c r="JE5" s="259">
        <f>$IA$6</f>
        <v>0</v>
      </c>
      <c r="JF5" s="340" t="s">
        <v>2532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2284</v>
      </c>
      <c r="JK5" s="202">
        <f>$IA$6</f>
        <v>0</v>
      </c>
      <c r="JL5" s="340" t="s">
        <v>2488</v>
      </c>
      <c r="JM5" s="320">
        <v>-1400</v>
      </c>
      <c r="JN5" s="340" t="s">
        <v>352</v>
      </c>
      <c r="JO5" s="260">
        <f>SUM(JO6:JO51)</f>
        <v>126905.181</v>
      </c>
      <c r="JP5" s="285" t="s">
        <v>2542</v>
      </c>
      <c r="JQ5" s="318">
        <v>-80000</v>
      </c>
      <c r="JR5" s="340" t="s">
        <v>2885</v>
      </c>
      <c r="JS5" s="463">
        <v>-30</v>
      </c>
      <c r="JT5" s="340" t="s">
        <v>352</v>
      </c>
      <c r="JU5" s="260">
        <f>SUM(JU6:JU50)</f>
        <v>13510.48</v>
      </c>
      <c r="JV5" s="285" t="s">
        <v>2542</v>
      </c>
      <c r="JW5" s="318">
        <v>-77000</v>
      </c>
      <c r="JX5" s="340" t="s">
        <v>2886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2810</v>
      </c>
      <c r="KC5" s="259">
        <f>-135000</f>
        <v>-135000</v>
      </c>
      <c r="KD5" s="340" t="s">
        <v>2812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2823</v>
      </c>
      <c r="KI5" s="318">
        <v>7000</v>
      </c>
      <c r="KJ5" s="340" t="s">
        <v>2532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2866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2532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3054</v>
      </c>
      <c r="LA5" s="450" t="s">
        <v>3053</v>
      </c>
      <c r="LB5" s="617" t="s">
        <v>2532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8" t="s">
        <v>2532</v>
      </c>
      <c r="LI5" s="463">
        <v>-200</v>
      </c>
      <c r="LJ5" s="647" t="s">
        <v>352</v>
      </c>
      <c r="LK5" s="260">
        <f>SUM(LK6:LK55)</f>
        <v>8817.24</v>
      </c>
      <c r="LL5" s="449">
        <v>5000</v>
      </c>
      <c r="LM5" s="450">
        <v>45496</v>
      </c>
      <c r="LN5" s="729"/>
      <c r="LO5" s="463"/>
      <c r="LP5" s="677" t="s">
        <v>352</v>
      </c>
      <c r="LQ5" s="260">
        <f>SUM(LQ6:LQ50)</f>
        <v>18626.820000000003</v>
      </c>
      <c r="LR5" s="449">
        <v>150000</v>
      </c>
      <c r="LS5" s="450">
        <v>45356</v>
      </c>
      <c r="LT5" s="729" t="s">
        <v>2183</v>
      </c>
      <c r="LU5" s="277"/>
      <c r="LV5" s="728" t="s">
        <v>352</v>
      </c>
      <c r="LW5" s="260">
        <f>SUM(LW6:LW46)</f>
        <v>0</v>
      </c>
      <c r="LX5" s="449">
        <v>150000</v>
      </c>
      <c r="LY5" s="450">
        <v>45356</v>
      </c>
    </row>
    <row r="6" spans="1:338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1068</v>
      </c>
      <c r="V6" s="340">
        <v>0</v>
      </c>
      <c r="W6" s="170"/>
      <c r="Y6" s="461"/>
      <c r="Z6" s="462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1" t="s">
        <v>1094</v>
      </c>
      <c r="AL6" s="462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1" t="s">
        <v>1094</v>
      </c>
      <c r="AR6" s="462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1" t="s">
        <v>1094</v>
      </c>
      <c r="AX6" s="462">
        <v>9933</v>
      </c>
      <c r="BA6" s="461" t="s">
        <v>1094</v>
      </c>
      <c r="BB6" s="462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1" t="s">
        <v>1094</v>
      </c>
      <c r="BH6" s="462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1" t="s">
        <v>1094</v>
      </c>
      <c r="BN6" s="462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1" t="s">
        <v>1094</v>
      </c>
      <c r="BT6" s="377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1" t="s">
        <v>1094</v>
      </c>
      <c r="BZ6" s="462">
        <v>34967</v>
      </c>
      <c r="CA6" s="217" t="s">
        <v>1280</v>
      </c>
      <c r="CB6" s="204">
        <v>0</v>
      </c>
      <c r="CC6" s="217" t="s">
        <v>359</v>
      </c>
      <c r="CD6" s="217">
        <f>SUM(CD12:CD15)</f>
        <v>1900.08</v>
      </c>
      <c r="CE6" s="461" t="s">
        <v>1094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1094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1094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1094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1094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1094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1264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1407</v>
      </c>
      <c r="EB6" s="340">
        <v>0</v>
      </c>
      <c r="EC6" s="197" t="s">
        <v>1575</v>
      </c>
      <c r="EE6" s="243" t="s">
        <v>359</v>
      </c>
      <c r="EF6" s="295">
        <f>SUM(EF11:EF12)</f>
        <v>2462.0299999999997</v>
      </c>
      <c r="EG6" s="295"/>
      <c r="EH6" s="319" t="s">
        <v>1501</v>
      </c>
      <c r="EI6" s="285">
        <v>10718</v>
      </c>
      <c r="EJ6" s="340" t="s">
        <v>1648</v>
      </c>
      <c r="EK6" s="340">
        <v>9.99</v>
      </c>
      <c r="EL6" s="243" t="s">
        <v>359</v>
      </c>
      <c r="EM6" s="295">
        <f>SUM(EM11:EM13)</f>
        <v>1800.07</v>
      </c>
      <c r="EN6" s="319" t="s">
        <v>1501</v>
      </c>
      <c r="EO6" s="285">
        <v>9753</v>
      </c>
      <c r="EP6" s="197" t="s">
        <v>1575</v>
      </c>
      <c r="ER6" s="306" t="s">
        <v>1680</v>
      </c>
      <c r="ES6" s="295">
        <f>SUM(ES11:ES12)</f>
        <v>2230.08</v>
      </c>
      <c r="ET6" s="319" t="s">
        <v>1501</v>
      </c>
      <c r="EU6" s="285">
        <v>4177</v>
      </c>
      <c r="EV6" s="197" t="s">
        <v>1575</v>
      </c>
      <c r="EX6" s="306" t="s">
        <v>1680</v>
      </c>
      <c r="EY6" s="295">
        <f>SUM(EY11:EY12)</f>
        <v>1900.09</v>
      </c>
      <c r="EZ6" s="319" t="s">
        <v>1501</v>
      </c>
      <c r="FA6" s="340">
        <v>3507</v>
      </c>
      <c r="FB6" s="197" t="s">
        <v>1575</v>
      </c>
      <c r="FD6" s="306" t="s">
        <v>1680</v>
      </c>
      <c r="FE6" s="263">
        <f>SUM(FE11:FE11)</f>
        <v>1800.1</v>
      </c>
      <c r="FF6" s="319" t="s">
        <v>1501</v>
      </c>
      <c r="FG6" s="340">
        <v>9685</v>
      </c>
      <c r="FJ6" s="306" t="s">
        <v>1680</v>
      </c>
      <c r="FK6" s="263">
        <f>SUM(FK11:FK11)</f>
        <v>1800.11</v>
      </c>
      <c r="FL6" s="319" t="s">
        <v>1522</v>
      </c>
      <c r="FM6" s="340">
        <v>818</v>
      </c>
      <c r="FN6" s="340" t="s">
        <v>1834</v>
      </c>
      <c r="FO6" s="240">
        <v>3740</v>
      </c>
      <c r="FP6" s="306" t="s">
        <v>1922</v>
      </c>
      <c r="FQ6" s="263">
        <f>FQ12</f>
        <v>1800.12</v>
      </c>
      <c r="FR6" s="204" t="s">
        <v>1832</v>
      </c>
      <c r="FS6" s="340">
        <v>3740</v>
      </c>
      <c r="FT6" s="467" t="s">
        <v>1906</v>
      </c>
      <c r="FU6" s="340">
        <v>15</v>
      </c>
      <c r="FV6" s="306" t="s">
        <v>1922</v>
      </c>
      <c r="FW6" s="263">
        <f>FW12</f>
        <v>1800.01</v>
      </c>
      <c r="FX6" s="340" t="s">
        <v>1875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1875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1875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1875</v>
      </c>
      <c r="GQ6" s="259">
        <v>-81000</v>
      </c>
      <c r="GR6" s="340" t="s">
        <v>2177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1875</v>
      </c>
      <c r="GW6" s="259">
        <v>-82000</v>
      </c>
      <c r="GY6" s="240"/>
      <c r="GZ6" s="306" t="s">
        <v>1922</v>
      </c>
      <c r="HA6" s="263">
        <f>SUM(HA12:HA12)</f>
        <v>1800.06</v>
      </c>
      <c r="HB6" s="340" t="s">
        <v>2095</v>
      </c>
      <c r="HC6" s="259"/>
      <c r="HD6" s="340" t="s">
        <v>2177</v>
      </c>
      <c r="HE6" s="340">
        <v>-1437.02</v>
      </c>
      <c r="HF6" s="340" t="s">
        <v>352</v>
      </c>
      <c r="HG6" s="263">
        <f>SUM(HG13:HG45)</f>
        <v>27438.16</v>
      </c>
      <c r="HH6" s="340" t="s">
        <v>1875</v>
      </c>
      <c r="HI6" s="259">
        <v>-82000</v>
      </c>
      <c r="HJ6" s="340" t="s">
        <v>2122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1875</v>
      </c>
      <c r="HO6" s="259">
        <v>-77000</v>
      </c>
      <c r="HP6" s="340" t="s">
        <v>2193</v>
      </c>
      <c r="HQ6" s="340">
        <v>215.57</v>
      </c>
      <c r="HR6" s="305" t="s">
        <v>1002</v>
      </c>
      <c r="HS6" s="340">
        <v>1900.09</v>
      </c>
      <c r="HT6" s="468" t="s">
        <v>2166</v>
      </c>
      <c r="HU6" s="469">
        <f>HO6+HT7</f>
        <v>-70000</v>
      </c>
      <c r="HV6" s="340" t="s">
        <v>2216</v>
      </c>
      <c r="HW6" s="240">
        <v>679999</v>
      </c>
      <c r="HX6" s="340" t="s">
        <v>1198</v>
      </c>
      <c r="HY6" s="263">
        <f>HY2-HY7</f>
        <v>0.61000000010244548</v>
      </c>
      <c r="HZ6" s="340" t="s">
        <v>2284</v>
      </c>
      <c r="IA6" s="202">
        <v>0</v>
      </c>
      <c r="IB6" s="340" t="s">
        <v>2264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1626</v>
      </c>
      <c r="IG6" s="341">
        <v>0.08</v>
      </c>
      <c r="IH6" s="340" t="s">
        <v>2372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2356</v>
      </c>
      <c r="IM6" s="259">
        <v>235000</v>
      </c>
      <c r="IO6" s="320"/>
      <c r="IP6" s="305" t="s">
        <v>2389</v>
      </c>
      <c r="IQ6" s="202">
        <v>26</v>
      </c>
      <c r="IR6" s="340" t="s">
        <v>2356</v>
      </c>
      <c r="IS6" s="259">
        <v>305005</v>
      </c>
      <c r="IT6" s="340" t="s">
        <v>2543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2492</v>
      </c>
      <c r="IY6" s="358">
        <v>0.13300000000000001</v>
      </c>
      <c r="IZ6" s="340" t="s">
        <v>2488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2633</v>
      </c>
      <c r="JE6" s="259">
        <f>-140000-71000</f>
        <v>-211000</v>
      </c>
      <c r="JF6" s="340" t="s">
        <v>2488</v>
      </c>
      <c r="JG6" s="320">
        <v>-1401</v>
      </c>
      <c r="JH6" s="192" t="s">
        <v>2581</v>
      </c>
      <c r="JI6" s="340">
        <v>2000.06</v>
      </c>
      <c r="JJ6" s="340" t="s">
        <v>2633</v>
      </c>
      <c r="JK6" s="259">
        <v>-71000</v>
      </c>
      <c r="JM6" s="320"/>
      <c r="JN6" s="192" t="s">
        <v>2624</v>
      </c>
      <c r="JO6" s="340">
        <v>1000.07</v>
      </c>
      <c r="JP6" s="204" t="s">
        <v>2769</v>
      </c>
      <c r="JQ6" s="318"/>
      <c r="JR6" s="340" t="s">
        <v>2532</v>
      </c>
      <c r="JS6" s="463" t="s">
        <v>2671</v>
      </c>
      <c r="JT6" s="414" t="s">
        <v>2755</v>
      </c>
      <c r="JU6" s="420">
        <v>2000</v>
      </c>
      <c r="JV6" s="319" t="s">
        <v>2541</v>
      </c>
      <c r="JW6" s="259">
        <v>-4000</v>
      </c>
      <c r="JX6" s="340" t="s">
        <v>2488</v>
      </c>
      <c r="JY6" s="320">
        <v>-1800</v>
      </c>
      <c r="JZ6" s="414" t="s">
        <v>2746</v>
      </c>
      <c r="KA6" s="202">
        <v>1000.08</v>
      </c>
      <c r="KB6" s="285" t="s">
        <v>2542</v>
      </c>
      <c r="KC6" s="318">
        <v>-82000</v>
      </c>
      <c r="KE6" s="320"/>
      <c r="KF6" s="414" t="s">
        <v>1002</v>
      </c>
      <c r="KG6" s="340">
        <v>1900.09</v>
      </c>
      <c r="KH6" s="204" t="s">
        <v>2837</v>
      </c>
      <c r="KI6" s="318">
        <v>150000</v>
      </c>
      <c r="KJ6" s="340" t="s">
        <v>2866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2996</v>
      </c>
      <c r="KS6" s="441">
        <v>2000</v>
      </c>
      <c r="KT6" s="449">
        <v>20000</v>
      </c>
      <c r="KU6" s="450">
        <v>45370</v>
      </c>
      <c r="KV6" s="586" t="s">
        <v>3040</v>
      </c>
      <c r="KW6" s="202">
        <v>6.66</v>
      </c>
      <c r="KX6" s="442" t="s">
        <v>3050</v>
      </c>
      <c r="KY6" s="260">
        <v>50</v>
      </c>
      <c r="KZ6" s="449">
        <v>10000</v>
      </c>
      <c r="LA6" s="450">
        <v>45440</v>
      </c>
      <c r="LB6" s="620" t="s">
        <v>3143</v>
      </c>
      <c r="LC6" s="202">
        <v>200</v>
      </c>
      <c r="LD6" s="442" t="s">
        <v>3060</v>
      </c>
      <c r="LE6" s="260" t="s">
        <v>3059</v>
      </c>
      <c r="LF6" s="487" t="s">
        <v>2951</v>
      </c>
      <c r="LG6" s="451">
        <v>272000</v>
      </c>
      <c r="LH6" s="669"/>
      <c r="LI6" s="463"/>
      <c r="LJ6" s="442" t="s">
        <v>3060</v>
      </c>
      <c r="LK6" s="260" t="s">
        <v>3181</v>
      </c>
      <c r="LL6" s="487" t="s">
        <v>2951</v>
      </c>
      <c r="LM6" s="451">
        <v>282000</v>
      </c>
      <c r="LN6" s="700" t="s">
        <v>2822</v>
      </c>
      <c r="LO6" s="463">
        <v>70600</v>
      </c>
      <c r="LP6" s="442" t="s">
        <v>3060</v>
      </c>
      <c r="LQ6" s="261" t="s">
        <v>3181</v>
      </c>
      <c r="LR6" s="595" t="s">
        <v>3054</v>
      </c>
      <c r="LS6" s="450" t="s">
        <v>3053</v>
      </c>
      <c r="LT6" s="729"/>
      <c r="LU6" s="277"/>
      <c r="LV6" s="442" t="s">
        <v>3060</v>
      </c>
      <c r="LW6" s="261" t="s">
        <v>3181</v>
      </c>
      <c r="LX6" s="595" t="s">
        <v>3054</v>
      </c>
      <c r="LY6" s="450" t="s">
        <v>3053</v>
      </c>
    </row>
    <row r="7" spans="1:338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1108</v>
      </c>
      <c r="AR7" s="471">
        <v>-154</v>
      </c>
      <c r="AU7" s="340" t="s">
        <v>1003</v>
      </c>
      <c r="AV7" s="340">
        <f>SUM(AV25:AV31)</f>
        <v>466.23</v>
      </c>
      <c r="AW7" s="470" t="s">
        <v>1108</v>
      </c>
      <c r="AX7" s="471">
        <v>-152</v>
      </c>
      <c r="BA7" s="470" t="s">
        <v>1108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1108</v>
      </c>
      <c r="BH7" s="471">
        <v>-5</v>
      </c>
      <c r="BK7" s="217" t="s">
        <v>1003</v>
      </c>
      <c r="BL7" s="217">
        <f>SUM(BL23:BL29)</f>
        <v>216.62</v>
      </c>
      <c r="BM7" s="470" t="s">
        <v>1264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1264</v>
      </c>
      <c r="BT7" s="472">
        <v>-25</v>
      </c>
      <c r="BW7" s="217" t="s">
        <v>1003</v>
      </c>
      <c r="BX7" s="217">
        <f>SUM(BX23:BX29)</f>
        <v>325.44</v>
      </c>
      <c r="BY7" s="470" t="s">
        <v>1264</v>
      </c>
      <c r="BZ7" s="471">
        <v>-22</v>
      </c>
      <c r="CA7" s="204" t="s">
        <v>1271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1264</v>
      </c>
      <c r="CF7" s="471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70" t="s">
        <v>1264</v>
      </c>
      <c r="CL7" s="471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70" t="s">
        <v>1264</v>
      </c>
      <c r="CR7" s="471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1" t="s">
        <v>1264</v>
      </c>
      <c r="CX7" s="462">
        <v>-18</v>
      </c>
      <c r="CY7" s="217" t="s">
        <v>1050</v>
      </c>
      <c r="DA7" s="270" t="s">
        <v>1387</v>
      </c>
      <c r="DB7" s="217">
        <f>DB16</f>
        <v>288.75</v>
      </c>
      <c r="DC7" s="461" t="s">
        <v>1385</v>
      </c>
      <c r="DD7" s="462">
        <v>15000</v>
      </c>
      <c r="DE7" s="217" t="s">
        <v>1050</v>
      </c>
      <c r="DG7" s="270" t="s">
        <v>1387</v>
      </c>
      <c r="DH7" s="274">
        <f>SUM(DH23:DH25)</f>
        <v>566.44000000000005</v>
      </c>
      <c r="DI7" s="461" t="s">
        <v>1385</v>
      </c>
      <c r="DJ7" s="471">
        <v>0</v>
      </c>
      <c r="DK7" s="217" t="s">
        <v>1050</v>
      </c>
      <c r="DM7" s="270" t="s">
        <v>1387</v>
      </c>
      <c r="DN7" s="274">
        <f>SUM(DN19:DN20)</f>
        <v>2874.05</v>
      </c>
      <c r="DO7" s="285" t="s">
        <v>1128</v>
      </c>
      <c r="DP7" s="261">
        <v>2140.8000000000002</v>
      </c>
      <c r="DQ7" s="473" t="s">
        <v>1575</v>
      </c>
      <c r="DS7" s="294" t="s">
        <v>359</v>
      </c>
      <c r="DT7" s="293">
        <f>SUM(DT13:DT17)</f>
        <v>36900.06</v>
      </c>
      <c r="DU7" s="474" t="s">
        <v>1407</v>
      </c>
      <c r="DV7" s="261" t="s">
        <v>1537</v>
      </c>
      <c r="DW7" s="197" t="s">
        <v>1575</v>
      </c>
      <c r="DY7" s="296" t="s">
        <v>1387</v>
      </c>
      <c r="DZ7" s="340">
        <f>SUM(DZ13:DZ13)</f>
        <v>0</v>
      </c>
      <c r="EA7" s="218" t="s">
        <v>1145</v>
      </c>
      <c r="EB7" s="218"/>
      <c r="EC7" s="340" t="s">
        <v>1556</v>
      </c>
      <c r="ED7" s="340">
        <v>42</v>
      </c>
      <c r="EE7" s="296" t="s">
        <v>1387</v>
      </c>
      <c r="EF7" s="340">
        <f>SUM(EF13:EF13)</f>
        <v>0</v>
      </c>
      <c r="EH7" s="340" t="s">
        <v>1128</v>
      </c>
      <c r="EI7" s="204">
        <v>441</v>
      </c>
      <c r="EJ7" s="340" t="s">
        <v>1312</v>
      </c>
      <c r="EL7" s="304" t="s">
        <v>1387</v>
      </c>
      <c r="EM7" s="340">
        <f>SUM(EM14:EM14)</f>
        <v>1476</v>
      </c>
      <c r="EN7" s="340" t="s">
        <v>1128</v>
      </c>
      <c r="EO7" s="204">
        <v>441</v>
      </c>
      <c r="EP7" s="340" t="s">
        <v>1556</v>
      </c>
      <c r="EQ7" s="340">
        <v>40</v>
      </c>
      <c r="ER7" s="302" t="s">
        <v>1679</v>
      </c>
      <c r="ES7" s="340">
        <f>SUM(ES16:ES23)</f>
        <v>368.37999999999994</v>
      </c>
      <c r="ET7" s="340" t="s">
        <v>1677</v>
      </c>
      <c r="EU7" s="204">
        <v>441</v>
      </c>
      <c r="EV7" s="340" t="s">
        <v>1556</v>
      </c>
      <c r="EW7" s="340">
        <v>38</v>
      </c>
      <c r="EX7" s="302" t="s">
        <v>1679</v>
      </c>
      <c r="EY7" s="340">
        <f>SUM(EY15:EY22)</f>
        <v>667.03</v>
      </c>
      <c r="EZ7" s="340" t="s">
        <v>1677</v>
      </c>
      <c r="FA7" s="204">
        <v>441</v>
      </c>
      <c r="FB7" s="340" t="s">
        <v>1556</v>
      </c>
      <c r="FC7" s="340">
        <v>45</v>
      </c>
      <c r="FD7" s="302" t="s">
        <v>1679</v>
      </c>
      <c r="FE7" s="340">
        <f>SUM(FE16:FE22)</f>
        <v>397.78999999999996</v>
      </c>
      <c r="FF7" s="340" t="s">
        <v>1677</v>
      </c>
      <c r="FG7" s="204">
        <f>333+1092</f>
        <v>1425</v>
      </c>
      <c r="FH7" s="197" t="s">
        <v>1575</v>
      </c>
      <c r="FJ7" s="302" t="s">
        <v>1679</v>
      </c>
      <c r="FK7" s="340">
        <f>SUM(FK15:FK22)</f>
        <v>474.22999999999996</v>
      </c>
      <c r="FL7" s="319" t="s">
        <v>1501</v>
      </c>
      <c r="FM7" s="340">
        <v>2818</v>
      </c>
      <c r="FN7" s="340" t="s">
        <v>1836</v>
      </c>
      <c r="FO7" s="240">
        <v>20000</v>
      </c>
      <c r="FP7" s="312" t="s">
        <v>1923</v>
      </c>
      <c r="FQ7" s="263">
        <f>SUM(FQ13:FQ14)</f>
        <v>11000</v>
      </c>
      <c r="FR7" s="319" t="s">
        <v>1522</v>
      </c>
      <c r="FS7" s="340">
        <v>1240</v>
      </c>
      <c r="FT7" s="340" t="s">
        <v>1905</v>
      </c>
      <c r="FU7" s="240"/>
      <c r="FV7" s="312" t="s">
        <v>1923</v>
      </c>
      <c r="FW7" s="263">
        <f>SUM(FW13:FW15)</f>
        <v>69300</v>
      </c>
      <c r="FX7" s="285" t="s">
        <v>1625</v>
      </c>
      <c r="FY7" s="340">
        <v>-907</v>
      </c>
      <c r="FZ7" s="340" t="s">
        <v>441</v>
      </c>
      <c r="GA7" s="240">
        <f>25200*0.8</f>
        <v>20160</v>
      </c>
      <c r="GB7" s="306" t="s">
        <v>1922</v>
      </c>
      <c r="GC7" s="263">
        <f>SUM(GC13:GC14)</f>
        <v>2800.02</v>
      </c>
      <c r="GD7" s="285" t="s">
        <v>1625</v>
      </c>
      <c r="GE7" s="340">
        <v>-1216</v>
      </c>
      <c r="GF7" s="340" t="s">
        <v>441</v>
      </c>
      <c r="GG7" s="240">
        <f>10800-4800*0.2</f>
        <v>9840</v>
      </c>
      <c r="GH7" s="306" t="s">
        <v>1922</v>
      </c>
      <c r="GI7" s="263">
        <f>SUM(GI13:GI14)</f>
        <v>3800.0299999999997</v>
      </c>
      <c r="GJ7" s="285" t="s">
        <v>1625</v>
      </c>
      <c r="GK7" s="340">
        <v>-958</v>
      </c>
      <c r="GL7" s="340" t="s">
        <v>1956</v>
      </c>
      <c r="GN7" s="306" t="s">
        <v>1922</v>
      </c>
      <c r="GO7" s="263">
        <f>SUM(GO13:GO13)</f>
        <v>1004</v>
      </c>
      <c r="GP7" s="285" t="s">
        <v>1625</v>
      </c>
      <c r="GQ7" s="340">
        <v>-1572</v>
      </c>
      <c r="GS7" s="240"/>
      <c r="GT7" s="306" t="s">
        <v>1922</v>
      </c>
      <c r="GU7" s="263">
        <f>SUM(GU13:GU15)</f>
        <v>4635.2400000000007</v>
      </c>
      <c r="GV7" s="285" t="s">
        <v>1625</v>
      </c>
      <c r="GW7" s="340">
        <v>-1226</v>
      </c>
      <c r="GZ7" s="312" t="s">
        <v>1923</v>
      </c>
      <c r="HA7" s="263">
        <f>SUM(HA13:HA13)</f>
        <v>2104.9333333333334</v>
      </c>
      <c r="HB7" s="340" t="s">
        <v>1875</v>
      </c>
      <c r="HC7" s="259">
        <v>-82000</v>
      </c>
      <c r="HF7" s="306" t="s">
        <v>1922</v>
      </c>
      <c r="HG7" s="263">
        <f>SUM(HG13:HG13)</f>
        <v>1900.07</v>
      </c>
      <c r="HH7" s="285" t="s">
        <v>1625</v>
      </c>
      <c r="HI7" s="340">
        <v>-1696</v>
      </c>
      <c r="HJ7" s="340" t="s">
        <v>2162</v>
      </c>
      <c r="HK7" s="340">
        <v>30.001000000000001</v>
      </c>
      <c r="HL7" s="305" t="s">
        <v>1002</v>
      </c>
      <c r="HM7" s="340">
        <v>1900.08</v>
      </c>
      <c r="HN7" s="340" t="s">
        <v>2131</v>
      </c>
      <c r="HO7" s="259"/>
      <c r="HQ7" s="240"/>
      <c r="HR7" s="300" t="s">
        <v>1980</v>
      </c>
      <c r="HS7" s="340">
        <v>1059.3</v>
      </c>
      <c r="HT7" s="475">
        <v>7000</v>
      </c>
      <c r="HU7" s="476" t="s">
        <v>2167</v>
      </c>
      <c r="HV7" s="340" t="s">
        <v>2122</v>
      </c>
      <c r="HW7" s="240">
        <v>41</v>
      </c>
      <c r="HX7" s="340" t="s">
        <v>352</v>
      </c>
      <c r="HY7" s="260">
        <f>SUM(HY8:HY55)</f>
        <v>198928.51</v>
      </c>
      <c r="HZ7" s="285" t="s">
        <v>1625</v>
      </c>
      <c r="IA7" s="340">
        <v>-889</v>
      </c>
      <c r="IB7" s="340" t="s">
        <v>1274</v>
      </c>
      <c r="IC7" s="320">
        <v>24.9</v>
      </c>
      <c r="ID7" s="305" t="s">
        <v>1002</v>
      </c>
      <c r="IE7" s="340">
        <v>1900.11</v>
      </c>
      <c r="IF7" s="204" t="s">
        <v>2282</v>
      </c>
      <c r="IG7" s="464">
        <v>-8</v>
      </c>
      <c r="IH7" s="340" t="s">
        <v>2406</v>
      </c>
      <c r="II7" s="320">
        <v>2.27</v>
      </c>
      <c r="IJ7" s="305" t="s">
        <v>2335</v>
      </c>
      <c r="IK7" s="340">
        <v>15</v>
      </c>
      <c r="IL7" s="285" t="s">
        <v>1625</v>
      </c>
      <c r="IM7" s="340">
        <v>-2488</v>
      </c>
      <c r="IN7" s="340" t="s">
        <v>2433</v>
      </c>
      <c r="IO7" s="320"/>
      <c r="IP7" s="305" t="s">
        <v>2424</v>
      </c>
      <c r="IQ7" s="202">
        <v>17</v>
      </c>
      <c r="IR7" s="285" t="s">
        <v>2397</v>
      </c>
      <c r="IS7" s="341">
        <v>0</v>
      </c>
      <c r="IT7" s="340" t="s">
        <v>2481</v>
      </c>
      <c r="IU7" s="320">
        <v>100</v>
      </c>
      <c r="IV7" s="305" t="s">
        <v>2389</v>
      </c>
      <c r="IW7" s="202">
        <v>11</v>
      </c>
      <c r="IX7" s="285" t="s">
        <v>2542</v>
      </c>
      <c r="IY7" s="318">
        <v>-75000</v>
      </c>
      <c r="IZ7" s="340" t="s">
        <v>2543</v>
      </c>
      <c r="JA7" s="320">
        <v>-30</v>
      </c>
      <c r="JB7" s="192" t="s">
        <v>1002</v>
      </c>
      <c r="JC7" s="202">
        <v>1900.03</v>
      </c>
      <c r="JD7" s="285" t="s">
        <v>2542</v>
      </c>
      <c r="JE7" s="318">
        <v>-75000</v>
      </c>
      <c r="JG7" s="320"/>
      <c r="JH7" s="192" t="s">
        <v>1002</v>
      </c>
      <c r="JI7" s="202">
        <v>1900.04</v>
      </c>
      <c r="JJ7" s="285" t="s">
        <v>2542</v>
      </c>
      <c r="JK7" s="318">
        <v>-75000</v>
      </c>
      <c r="JL7" s="340" t="s">
        <v>2433</v>
      </c>
      <c r="JM7" s="320"/>
      <c r="JN7" s="192" t="s">
        <v>1002</v>
      </c>
      <c r="JO7" s="202">
        <v>1900.05</v>
      </c>
      <c r="JP7" s="319" t="s">
        <v>2541</v>
      </c>
      <c r="JQ7" s="259">
        <v>-4000</v>
      </c>
      <c r="JR7" s="340" t="s">
        <v>2699</v>
      </c>
      <c r="JS7" s="463">
        <v>236.43</v>
      </c>
      <c r="JT7" s="414" t="s">
        <v>1002</v>
      </c>
      <c r="JU7" s="340">
        <v>1900.06</v>
      </c>
      <c r="JV7" s="340" t="s">
        <v>2646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2541</v>
      </c>
      <c r="KC7" s="259">
        <v>-4000</v>
      </c>
      <c r="KD7" s="340" t="s">
        <v>2822</v>
      </c>
      <c r="KE7" s="477">
        <f>ABS(KC3+KC4)</f>
        <v>211000</v>
      </c>
      <c r="KF7" s="300" t="s">
        <v>2828</v>
      </c>
      <c r="KG7" s="340">
        <v>10.25</v>
      </c>
      <c r="KH7" s="340" t="s">
        <v>2860</v>
      </c>
      <c r="KI7" s="259">
        <v>-70600</v>
      </c>
      <c r="KJ7" s="340" t="s">
        <v>2945</v>
      </c>
      <c r="KK7" s="320">
        <v>-1800</v>
      </c>
      <c r="KL7" s="300" t="s">
        <v>2887</v>
      </c>
      <c r="KM7" s="340">
        <v>1112.4000000000001</v>
      </c>
      <c r="KN7" s="449">
        <v>20000</v>
      </c>
      <c r="KO7" s="450">
        <v>45370</v>
      </c>
      <c r="KP7" s="340" t="s">
        <v>3039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2951</v>
      </c>
      <c r="LA7" s="451">
        <v>262000</v>
      </c>
      <c r="LB7" s="620"/>
      <c r="LC7" s="629"/>
      <c r="LD7" s="442" t="s">
        <v>3093</v>
      </c>
      <c r="LE7" s="260">
        <f>1000+2000+5000</f>
        <v>8000</v>
      </c>
      <c r="LF7" s="616" t="s">
        <v>2860</v>
      </c>
      <c r="LG7" s="259">
        <v>-70600</v>
      </c>
      <c r="LH7" s="652" t="s">
        <v>3171</v>
      </c>
      <c r="LI7" s="202" t="s">
        <v>3170</v>
      </c>
      <c r="LJ7" s="442" t="s">
        <v>3300</v>
      </c>
      <c r="LK7" s="441">
        <v>1900.02</v>
      </c>
      <c r="LL7" s="647" t="s">
        <v>2860</v>
      </c>
      <c r="LM7" s="259">
        <v>-70600</v>
      </c>
      <c r="LN7" s="700" t="s">
        <v>3255</v>
      </c>
      <c r="LO7" s="320">
        <f>-(15000)</f>
        <v>-15000</v>
      </c>
      <c r="LP7" s="442" t="s">
        <v>3208</v>
      </c>
      <c r="LQ7" s="202">
        <v>1900.03</v>
      </c>
      <c r="LR7" s="449">
        <v>5000</v>
      </c>
      <c r="LS7" s="450">
        <v>45524</v>
      </c>
      <c r="LT7" s="728" t="s">
        <v>3039</v>
      </c>
      <c r="LU7" s="395"/>
      <c r="LV7" s="442" t="s">
        <v>3208</v>
      </c>
      <c r="LW7" s="202"/>
      <c r="LX7" s="449">
        <v>5000</v>
      </c>
      <c r="LY7" s="450">
        <v>45524</v>
      </c>
    </row>
    <row r="8" spans="1:338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8" t="s">
        <v>1055</v>
      </c>
      <c r="AL8" s="479">
        <v>250</v>
      </c>
      <c r="AM8" s="340" t="s">
        <v>2021</v>
      </c>
      <c r="AN8" s="340">
        <v>80</v>
      </c>
      <c r="AO8" s="340" t="s">
        <v>1005</v>
      </c>
      <c r="AP8" s="340">
        <f>SUM(AP20:AP24)</f>
        <v>465</v>
      </c>
      <c r="AQ8" s="478" t="s">
        <v>1055</v>
      </c>
      <c r="AR8" s="479">
        <v>100</v>
      </c>
      <c r="AS8" s="340" t="s">
        <v>1050</v>
      </c>
      <c r="AU8" s="340" t="s">
        <v>1005</v>
      </c>
      <c r="AV8" s="340">
        <f>SUM(AV20:AV24)</f>
        <v>522</v>
      </c>
      <c r="AW8" s="478" t="s">
        <v>1055</v>
      </c>
      <c r="AX8" s="479">
        <v>200</v>
      </c>
      <c r="BA8" s="478" t="s">
        <v>1055</v>
      </c>
      <c r="BB8" s="462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8" t="s">
        <v>1055</v>
      </c>
      <c r="BH8" s="479">
        <v>150</v>
      </c>
      <c r="BI8" s="217" t="s">
        <v>1050</v>
      </c>
      <c r="BK8" s="217" t="s">
        <v>1005</v>
      </c>
      <c r="BL8" s="217">
        <f>SUM(BL18:BL22)</f>
        <v>387</v>
      </c>
      <c r="BM8" s="478" t="s">
        <v>1055</v>
      </c>
      <c r="BN8" s="479">
        <v>90</v>
      </c>
      <c r="BO8" s="217" t="s">
        <v>1050</v>
      </c>
      <c r="BQ8" s="217" t="s">
        <v>1005</v>
      </c>
      <c r="BR8" s="217">
        <f>SUM(BR18:BR22)</f>
        <v>452</v>
      </c>
      <c r="BS8" s="478" t="s">
        <v>1055</v>
      </c>
      <c r="BT8" s="480">
        <v>100</v>
      </c>
      <c r="BU8" s="217" t="s">
        <v>1050</v>
      </c>
      <c r="BW8" s="217" t="s">
        <v>1005</v>
      </c>
      <c r="BX8" s="217">
        <f>SUM(BX18:BX22)</f>
        <v>172</v>
      </c>
      <c r="BY8" s="478" t="s">
        <v>1055</v>
      </c>
      <c r="BZ8" s="481">
        <v>60</v>
      </c>
      <c r="CA8" s="217" t="s">
        <v>1050</v>
      </c>
      <c r="CC8" s="217" t="s">
        <v>1005</v>
      </c>
      <c r="CD8" s="217">
        <f>SUM(CD18:CD22)</f>
        <v>215</v>
      </c>
      <c r="CE8" s="478" t="s">
        <v>1055</v>
      </c>
      <c r="CF8" s="481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8" t="s">
        <v>1055</v>
      </c>
      <c r="CL8" s="481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8" t="s">
        <v>1055</v>
      </c>
      <c r="CR8" s="481">
        <v>80</v>
      </c>
      <c r="CS8" s="217" t="s">
        <v>1365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1365</v>
      </c>
      <c r="CZ8" s="217">
        <v>62</v>
      </c>
      <c r="DA8" s="267" t="s">
        <v>1005</v>
      </c>
      <c r="DB8" s="217">
        <f>SUM(DB17:DB17)</f>
        <v>1316.1</v>
      </c>
      <c r="DC8" s="461" t="s">
        <v>1264</v>
      </c>
      <c r="DD8" s="462">
        <v>-222</v>
      </c>
      <c r="DE8" s="217" t="s">
        <v>1365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1264</v>
      </c>
      <c r="DJ8" s="462">
        <v>0</v>
      </c>
      <c r="DK8" s="217" t="s">
        <v>1365</v>
      </c>
      <c r="DL8" s="217">
        <v>63</v>
      </c>
      <c r="DM8" s="267" t="s">
        <v>1576</v>
      </c>
      <c r="DN8" s="274">
        <f>SUM(DN21:DN23)</f>
        <v>189.2</v>
      </c>
      <c r="DO8" s="474" t="s">
        <v>1407</v>
      </c>
      <c r="DP8" s="261">
        <v>15108</v>
      </c>
      <c r="DQ8" s="217" t="s">
        <v>1556</v>
      </c>
      <c r="DR8" s="217">
        <v>64</v>
      </c>
      <c r="DS8" s="270" t="s">
        <v>1387</v>
      </c>
      <c r="DT8" s="274">
        <f>SUM(DT18:DT18)</f>
        <v>382</v>
      </c>
      <c r="DU8" s="218" t="s">
        <v>1145</v>
      </c>
      <c r="DV8" s="462"/>
      <c r="DW8" s="340" t="s">
        <v>1556</v>
      </c>
      <c r="DX8" s="340">
        <v>38</v>
      </c>
      <c r="DY8" s="241" t="s">
        <v>1576</v>
      </c>
      <c r="DZ8" s="340">
        <f>SUM(DZ14:DZ14)</f>
        <v>0</v>
      </c>
      <c r="EA8" s="218" t="s">
        <v>1093</v>
      </c>
      <c r="EB8" s="218">
        <v>-252</v>
      </c>
      <c r="EE8" s="241" t="s">
        <v>1576</v>
      </c>
      <c r="EF8" s="340">
        <f>SUM(EF14:EF14)</f>
        <v>0</v>
      </c>
      <c r="EH8" s="319" t="s">
        <v>1407</v>
      </c>
      <c r="EI8" s="204">
        <v>0</v>
      </c>
      <c r="EJ8" s="204" t="s">
        <v>1649</v>
      </c>
      <c r="EK8" s="340">
        <v>5</v>
      </c>
      <c r="EL8" s="301" t="s">
        <v>1676</v>
      </c>
      <c r="EM8" s="340">
        <f>SUM(EM15:EM15)</f>
        <v>28.119999999999997</v>
      </c>
      <c r="EN8" s="319" t="s">
        <v>1407</v>
      </c>
      <c r="EO8" s="204">
        <v>0</v>
      </c>
      <c r="ER8" s="303" t="s">
        <v>1678</v>
      </c>
      <c r="ES8" s="340">
        <f>SUM(ES24:ES24)</f>
        <v>0</v>
      </c>
      <c r="ET8" s="319" t="s">
        <v>1407</v>
      </c>
      <c r="EU8" s="204">
        <v>0</v>
      </c>
      <c r="EX8" s="303" t="s">
        <v>1678</v>
      </c>
      <c r="EY8" s="340">
        <f>SUM(EY23:EY25)</f>
        <v>59.949999999999996</v>
      </c>
      <c r="EZ8" s="319" t="s">
        <v>1407</v>
      </c>
      <c r="FA8" s="204">
        <v>0</v>
      </c>
      <c r="FD8" s="303" t="s">
        <v>1678</v>
      </c>
      <c r="FE8" s="340">
        <f>SUM(FE23:FE26)</f>
        <v>117.02</v>
      </c>
      <c r="FF8" s="319" t="s">
        <v>1407</v>
      </c>
      <c r="FG8" s="204">
        <v>0</v>
      </c>
      <c r="FH8" s="340" t="s">
        <v>1556</v>
      </c>
      <c r="FI8" s="340">
        <v>40</v>
      </c>
      <c r="FJ8" s="303" t="s">
        <v>1678</v>
      </c>
      <c r="FK8" s="340">
        <f>SUM(FK23:FK28)</f>
        <v>174.32999999999998</v>
      </c>
      <c r="FL8" s="340" t="s">
        <v>1677</v>
      </c>
      <c r="FM8" s="204">
        <f>283+1126</f>
        <v>1409</v>
      </c>
      <c r="FO8" s="240"/>
      <c r="FP8" s="302" t="s">
        <v>1679</v>
      </c>
      <c r="FQ8" s="340">
        <f>SUM(FQ18:FQ25)</f>
        <v>550.22</v>
      </c>
      <c r="FR8" s="319" t="s">
        <v>1501</v>
      </c>
      <c r="FS8" s="340">
        <v>3754</v>
      </c>
      <c r="FT8" s="340" t="s">
        <v>1898</v>
      </c>
      <c r="FU8" s="340">
        <v>148</v>
      </c>
      <c r="FV8" s="302" t="s">
        <v>1679</v>
      </c>
      <c r="FW8" s="340">
        <f>SUM(FW18:FW25)</f>
        <v>363.97</v>
      </c>
      <c r="FX8" s="204" t="s">
        <v>1869</v>
      </c>
      <c r="FY8" s="340">
        <v>-52</v>
      </c>
      <c r="GA8" s="240"/>
      <c r="GB8" s="312" t="s">
        <v>1923</v>
      </c>
      <c r="GC8" s="263">
        <f>SUM(GC15)</f>
        <v>63477.54</v>
      </c>
      <c r="GD8" s="204" t="s">
        <v>1869</v>
      </c>
      <c r="GE8" s="464">
        <v>30</v>
      </c>
      <c r="GF8" s="340" t="s">
        <v>1943</v>
      </c>
      <c r="GG8" s="240">
        <v>30</v>
      </c>
      <c r="GH8" s="312" t="s">
        <v>1923</v>
      </c>
      <c r="GI8" s="263">
        <f>SUM(GI15)</f>
        <v>0</v>
      </c>
      <c r="GJ8" s="204" t="s">
        <v>1947</v>
      </c>
      <c r="GK8" s="464">
        <v>300</v>
      </c>
      <c r="GN8" s="312" t="s">
        <v>1923</v>
      </c>
      <c r="GO8" s="263">
        <f>SUM(GO14)</f>
        <v>0</v>
      </c>
      <c r="GP8" s="204" t="s">
        <v>1947</v>
      </c>
      <c r="GQ8" s="464">
        <v>29.05</v>
      </c>
      <c r="GR8" s="340" t="s">
        <v>2057</v>
      </c>
      <c r="GS8" s="340">
        <v>4000</v>
      </c>
      <c r="GT8" s="312" t="s">
        <v>1923</v>
      </c>
      <c r="GU8" s="263">
        <f>SUM(GU16:GU17)</f>
        <v>84255</v>
      </c>
      <c r="GV8" s="204" t="s">
        <v>1947</v>
      </c>
      <c r="GW8" s="464">
        <v>29.05</v>
      </c>
      <c r="GX8" s="197" t="s">
        <v>1575</v>
      </c>
      <c r="GZ8" s="302" t="s">
        <v>1679</v>
      </c>
      <c r="HA8" s="441">
        <f>SUM(HA18:HA24)</f>
        <v>880.40666666666687</v>
      </c>
      <c r="HB8" s="285" t="s">
        <v>1625</v>
      </c>
      <c r="HC8" s="340">
        <v>-898</v>
      </c>
      <c r="HD8" s="197" t="s">
        <v>1575</v>
      </c>
      <c r="HF8" s="312" t="s">
        <v>1923</v>
      </c>
      <c r="HG8" s="263">
        <f>SUM(HG14:HG16)</f>
        <v>3184.9333333333334</v>
      </c>
      <c r="HH8" s="204" t="s">
        <v>1947</v>
      </c>
      <c r="HI8" s="464">
        <v>38</v>
      </c>
      <c r="HJ8" s="340" t="s">
        <v>1603</v>
      </c>
      <c r="HL8" s="243" t="s">
        <v>2133</v>
      </c>
      <c r="HM8" s="340">
        <v>345.6</v>
      </c>
      <c r="HN8" s="285" t="s">
        <v>1625</v>
      </c>
      <c r="HO8" s="340">
        <v>-540</v>
      </c>
      <c r="HP8" s="340" t="s">
        <v>1603</v>
      </c>
      <c r="HR8" s="300" t="s">
        <v>2185</v>
      </c>
      <c r="HS8" s="340">
        <v>807.85</v>
      </c>
      <c r="HT8" s="285" t="s">
        <v>1625</v>
      </c>
      <c r="HU8" s="340">
        <v>-1653</v>
      </c>
      <c r="HV8" s="340" t="s">
        <v>2203</v>
      </c>
      <c r="HW8" s="240">
        <v>2.1</v>
      </c>
      <c r="HX8" s="305" t="s">
        <v>1002</v>
      </c>
      <c r="HY8" s="340">
        <v>1900.1</v>
      </c>
      <c r="HZ8" s="204" t="s">
        <v>1947</v>
      </c>
      <c r="IA8" s="464">
        <v>0</v>
      </c>
      <c r="IB8" s="340" t="s">
        <v>2265</v>
      </c>
      <c r="IC8" s="320"/>
      <c r="ID8" s="313" t="s">
        <v>2251</v>
      </c>
      <c r="IE8" s="340">
        <v>5.73</v>
      </c>
      <c r="IF8" s="204" t="s">
        <v>1832</v>
      </c>
      <c r="IG8" s="321">
        <v>2499</v>
      </c>
      <c r="II8" s="320"/>
      <c r="IJ8" s="305" t="s">
        <v>1002</v>
      </c>
      <c r="IK8" s="340">
        <v>1900.12</v>
      </c>
      <c r="IL8" s="204" t="s">
        <v>1869</v>
      </c>
      <c r="IM8" s="464">
        <v>0</v>
      </c>
      <c r="IN8" s="340" t="s">
        <v>2411</v>
      </c>
      <c r="IO8" s="320">
        <v>36.42</v>
      </c>
      <c r="IP8" s="305" t="s">
        <v>1002</v>
      </c>
      <c r="IQ8" s="202">
        <v>1900.01</v>
      </c>
      <c r="IR8" s="285" t="s">
        <v>1625</v>
      </c>
      <c r="IS8" s="340">
        <v>-3061</v>
      </c>
      <c r="IT8" s="340" t="s">
        <v>2479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2541</v>
      </c>
      <c r="IY8" s="259">
        <v>-4000</v>
      </c>
      <c r="JA8" s="320"/>
      <c r="JB8" s="313" t="s">
        <v>2550</v>
      </c>
      <c r="JC8" s="202">
        <v>300.27999999999997</v>
      </c>
      <c r="JD8" s="319" t="s">
        <v>2541</v>
      </c>
      <c r="JE8" s="259">
        <v>-4000</v>
      </c>
      <c r="JF8" s="340" t="s">
        <v>2433</v>
      </c>
      <c r="JG8" s="320"/>
      <c r="JH8" s="313" t="s">
        <v>2596</v>
      </c>
      <c r="JI8" s="202">
        <v>327.74</v>
      </c>
      <c r="JJ8" s="319" t="s">
        <v>2541</v>
      </c>
      <c r="JK8" s="259">
        <v>-4000</v>
      </c>
      <c r="JL8" s="482" t="s">
        <v>2613</v>
      </c>
      <c r="JM8" s="340">
        <v>2.5</v>
      </c>
      <c r="JN8" s="313" t="s">
        <v>2649</v>
      </c>
      <c r="JO8" s="202">
        <v>48.69</v>
      </c>
      <c r="JP8" s="483" t="s">
        <v>2490</v>
      </c>
      <c r="JQ8" s="259">
        <f>100*(330+310)</f>
        <v>64000</v>
      </c>
      <c r="JR8" s="340" t="s">
        <v>2433</v>
      </c>
      <c r="JS8" s="320"/>
      <c r="JT8" s="313" t="s">
        <v>2070</v>
      </c>
      <c r="JU8" s="202">
        <v>1476</v>
      </c>
      <c r="JV8" s="285" t="s">
        <v>2397</v>
      </c>
      <c r="JW8" s="464">
        <v>61</v>
      </c>
      <c r="JX8" s="340" t="s">
        <v>2782</v>
      </c>
      <c r="JY8" s="463">
        <v>60</v>
      </c>
      <c r="JZ8" s="414" t="s">
        <v>1002</v>
      </c>
      <c r="KA8" s="340">
        <v>1900.08</v>
      </c>
      <c r="KB8" s="340" t="s">
        <v>3122</v>
      </c>
      <c r="KC8" s="259">
        <v>640008</v>
      </c>
      <c r="KD8" s="340" t="s">
        <v>2821</v>
      </c>
      <c r="KE8" s="484"/>
      <c r="KF8" s="243" t="s">
        <v>2826</v>
      </c>
      <c r="KG8" s="318">
        <v>2000</v>
      </c>
      <c r="KH8" s="340" t="s">
        <v>2861</v>
      </c>
      <c r="KI8" s="259">
        <f>-135000</f>
        <v>-135000</v>
      </c>
      <c r="KJ8" s="340" t="s">
        <v>2944</v>
      </c>
      <c r="KK8" s="320">
        <v>-1800.01</v>
      </c>
      <c r="KL8" s="300" t="s">
        <v>2914</v>
      </c>
      <c r="KM8" s="202">
        <v>9.4499999999999993</v>
      </c>
      <c r="KN8" s="449">
        <v>20000</v>
      </c>
      <c r="KO8" s="450">
        <v>45384</v>
      </c>
      <c r="KP8" s="204" t="s">
        <v>2993</v>
      </c>
      <c r="KQ8" s="320">
        <v>3010</v>
      </c>
      <c r="KR8" s="300" t="s">
        <v>2887</v>
      </c>
      <c r="KS8" s="202">
        <f>874.8+75.4</f>
        <v>950.19999999999993</v>
      </c>
      <c r="KT8" s="449">
        <v>30000</v>
      </c>
      <c r="KU8" s="450">
        <v>45398</v>
      </c>
      <c r="KV8" s="582" t="s">
        <v>3039</v>
      </c>
      <c r="KW8" s="320"/>
      <c r="KX8" s="300" t="s">
        <v>2887</v>
      </c>
      <c r="KY8" s="202">
        <v>993.6</v>
      </c>
      <c r="KZ8" s="340" t="s">
        <v>2860</v>
      </c>
      <c r="LA8" s="259">
        <v>-70600</v>
      </c>
      <c r="LB8" s="616" t="s">
        <v>3039</v>
      </c>
      <c r="LC8" s="320"/>
      <c r="LD8" s="442" t="s">
        <v>1002</v>
      </c>
      <c r="LE8" s="441">
        <f>1900.01</f>
        <v>1900.01</v>
      </c>
      <c r="LF8" s="616" t="s">
        <v>2963</v>
      </c>
      <c r="LG8" s="259">
        <v>-115915</v>
      </c>
      <c r="LH8" s="652" t="s">
        <v>3158</v>
      </c>
      <c r="LI8" s="629">
        <v>3.4</v>
      </c>
      <c r="LJ8" s="443" t="s">
        <v>2354</v>
      </c>
      <c r="LK8" s="441">
        <v>14.55</v>
      </c>
      <c r="LL8" s="647" t="s">
        <v>2963</v>
      </c>
      <c r="LM8" s="259" t="s">
        <v>3157</v>
      </c>
      <c r="LN8" s="700" t="s">
        <v>3255</v>
      </c>
      <c r="LO8" s="320">
        <f>-(48322.06)</f>
        <v>-48322.06</v>
      </c>
      <c r="LP8" s="442" t="s">
        <v>3297</v>
      </c>
      <c r="LQ8" s="202">
        <v>1000.01</v>
      </c>
      <c r="LR8" s="487" t="s">
        <v>2951</v>
      </c>
      <c r="LS8" s="451">
        <v>280000</v>
      </c>
      <c r="LT8" s="728" t="s">
        <v>2796</v>
      </c>
      <c r="LU8" s="395"/>
      <c r="LV8" s="442" t="s">
        <v>3326</v>
      </c>
      <c r="LW8" s="202"/>
      <c r="LX8" s="487" t="s">
        <v>2951</v>
      </c>
      <c r="LY8" s="451">
        <v>280000</v>
      </c>
    </row>
    <row r="9" spans="1:338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2">
        <f t="shared" si="0"/>
        <v>1945.63</v>
      </c>
      <c r="BC9" s="340" t="s">
        <v>1197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4" t="s">
        <v>1309</v>
      </c>
      <c r="CX9" s="261">
        <v>3000</v>
      </c>
      <c r="DA9" s="256" t="s">
        <v>1396</v>
      </c>
      <c r="DB9" s="217">
        <f>SUM(DB18:DB24)</f>
        <v>428.57</v>
      </c>
      <c r="DC9" s="285" t="s">
        <v>1128</v>
      </c>
      <c r="DD9" s="485">
        <v>2090</v>
      </c>
      <c r="DE9" s="217" t="s">
        <v>1466</v>
      </c>
      <c r="DF9" s="217">
        <v>76</v>
      </c>
      <c r="DG9" s="256" t="s">
        <v>1396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1506</v>
      </c>
      <c r="DL9" s="217">
        <v>100</v>
      </c>
      <c r="DM9" s="256" t="s">
        <v>1577</v>
      </c>
      <c r="DN9" s="274">
        <f>SUM(DN24:DN30)</f>
        <v>512.1</v>
      </c>
      <c r="DO9" s="218" t="s">
        <v>1145</v>
      </c>
      <c r="DP9" s="462"/>
      <c r="DS9" s="267" t="s">
        <v>1576</v>
      </c>
      <c r="DT9" s="274">
        <f>SUM(DT50:DT50)</f>
        <v>0</v>
      </c>
      <c r="DU9" s="218" t="s">
        <v>1093</v>
      </c>
      <c r="DV9" s="462">
        <v>-2372</v>
      </c>
      <c r="DY9" s="242" t="s">
        <v>1577</v>
      </c>
      <c r="DZ9" s="340">
        <f>SUM(DZ15:DZ21)</f>
        <v>416.04999999999995</v>
      </c>
      <c r="EA9" s="218" t="s">
        <v>129</v>
      </c>
      <c r="EB9" s="218">
        <v>0</v>
      </c>
      <c r="EC9" s="340" t="s">
        <v>1603</v>
      </c>
      <c r="EE9" s="242" t="s">
        <v>1577</v>
      </c>
      <c r="EF9" s="340">
        <f>SUM(EF15:EF21)</f>
        <v>557.96</v>
      </c>
      <c r="EH9" s="285" t="s">
        <v>1620</v>
      </c>
      <c r="EI9" s="340">
        <v>160</v>
      </c>
      <c r="EL9" s="242" t="s">
        <v>1675</v>
      </c>
      <c r="EM9" s="340">
        <f>SUM(EM16:EM23)</f>
        <v>437.86</v>
      </c>
      <c r="EN9" s="285" t="s">
        <v>1620</v>
      </c>
      <c r="EO9" s="340">
        <v>70</v>
      </c>
      <c r="EP9" s="340" t="s">
        <v>1603</v>
      </c>
      <c r="ER9" s="301" t="s">
        <v>1676</v>
      </c>
      <c r="ES9" s="340">
        <f>SUM(ES14:ES15)</f>
        <v>1743.4</v>
      </c>
      <c r="ET9" s="285" t="s">
        <v>1620</v>
      </c>
      <c r="EU9" s="340">
        <v>260</v>
      </c>
      <c r="EV9" s="340" t="s">
        <v>1603</v>
      </c>
      <c r="EX9" s="301" t="s">
        <v>1676</v>
      </c>
      <c r="EY9" s="340">
        <f>SUM(EY14:EY14)</f>
        <v>481.5</v>
      </c>
      <c r="EZ9" s="285" t="s">
        <v>1620</v>
      </c>
      <c r="FA9" s="340">
        <v>200</v>
      </c>
      <c r="FB9" s="340" t="s">
        <v>1603</v>
      </c>
      <c r="FD9" s="301" t="s">
        <v>1676</v>
      </c>
      <c r="FE9" s="340">
        <f>SUM(FE13:FE15)</f>
        <v>1754.25</v>
      </c>
      <c r="FF9" s="285" t="s">
        <v>1620</v>
      </c>
      <c r="FG9" s="340">
        <v>220</v>
      </c>
      <c r="FJ9" s="301" t="s">
        <v>1676</v>
      </c>
      <c r="FK9" s="340">
        <f>SUM(FK13:FK14)</f>
        <v>35.32</v>
      </c>
      <c r="FL9" s="319" t="s">
        <v>1407</v>
      </c>
      <c r="FM9" s="204">
        <v>0</v>
      </c>
      <c r="FN9" s="197" t="s">
        <v>1575</v>
      </c>
      <c r="FP9" s="303" t="s">
        <v>1678</v>
      </c>
      <c r="FQ9" s="340">
        <f>SUM(FQ26:FQ36)</f>
        <v>464.30000000000007</v>
      </c>
      <c r="FR9" s="340" t="s">
        <v>1677</v>
      </c>
      <c r="FS9" s="204">
        <f>223+1168</f>
        <v>1391</v>
      </c>
      <c r="FT9" s="340" t="s">
        <v>1897</v>
      </c>
      <c r="FU9" s="340">
        <v>230</v>
      </c>
      <c r="FV9" s="303" t="s">
        <v>1678</v>
      </c>
      <c r="FW9" s="340">
        <f>SUM(FW26:FW29)</f>
        <v>167.3</v>
      </c>
      <c r="FX9" s="285" t="s">
        <v>1626</v>
      </c>
      <c r="FY9" s="464">
        <v>27.53</v>
      </c>
      <c r="FZ9" s="340" t="s">
        <v>1920</v>
      </c>
      <c r="GA9" s="240">
        <v>338</v>
      </c>
      <c r="GB9" s="302" t="s">
        <v>1679</v>
      </c>
      <c r="GC9" s="340">
        <f>SUM(GC19:GC27)</f>
        <v>540.84999999999991</v>
      </c>
      <c r="GD9" s="285" t="s">
        <v>1626</v>
      </c>
      <c r="GE9" s="464">
        <v>27.53</v>
      </c>
      <c r="GF9" s="340" t="s">
        <v>1956</v>
      </c>
      <c r="GH9" s="302" t="s">
        <v>1679</v>
      </c>
      <c r="GI9" s="340">
        <f>SUM(GI19:GI28)</f>
        <v>548.71</v>
      </c>
      <c r="GJ9" s="204" t="s">
        <v>1869</v>
      </c>
      <c r="GK9" s="464">
        <v>30</v>
      </c>
      <c r="GL9" s="340" t="s">
        <v>2027</v>
      </c>
      <c r="GM9" s="340">
        <v>1000.01</v>
      </c>
      <c r="GN9" s="302" t="s">
        <v>1679</v>
      </c>
      <c r="GO9" s="340">
        <f>SUM(GO20:GO28)</f>
        <v>454.79999999999995</v>
      </c>
      <c r="GP9" s="204" t="s">
        <v>1869</v>
      </c>
      <c r="GQ9" s="464">
        <v>30</v>
      </c>
      <c r="GT9" s="302" t="s">
        <v>1679</v>
      </c>
      <c r="GU9" s="340">
        <f>SUM(GU18:GU25)</f>
        <v>427.03000000000003</v>
      </c>
      <c r="GV9" s="204" t="s">
        <v>1869</v>
      </c>
      <c r="GW9" s="464">
        <v>30</v>
      </c>
      <c r="GX9" s="340" t="s">
        <v>1556</v>
      </c>
      <c r="GY9" s="340">
        <f>53.57+3.21</f>
        <v>56.78</v>
      </c>
      <c r="GZ9" s="303" t="s">
        <v>1678</v>
      </c>
      <c r="HA9" s="340">
        <f>SUM(HA25:HA39)</f>
        <v>1242.31</v>
      </c>
      <c r="HB9" s="204" t="s">
        <v>1947</v>
      </c>
      <c r="HC9" s="464">
        <v>38</v>
      </c>
      <c r="HD9" s="340" t="s">
        <v>2103</v>
      </c>
      <c r="HE9" s="340">
        <f>63.92+6.4</f>
        <v>70.320000000000007</v>
      </c>
      <c r="HF9" s="302" t="s">
        <v>1679</v>
      </c>
      <c r="HG9" s="441">
        <f>SUM(HG20:HG27)</f>
        <v>957.34666666666681</v>
      </c>
      <c r="HH9" s="204" t="s">
        <v>1869</v>
      </c>
      <c r="HI9" s="464">
        <v>30</v>
      </c>
      <c r="HJ9" s="325" t="s">
        <v>2175</v>
      </c>
      <c r="HK9" s="340">
        <f>86</f>
        <v>86</v>
      </c>
      <c r="HL9" s="243" t="s">
        <v>2034</v>
      </c>
      <c r="HM9" s="441">
        <f>HM10*5</f>
        <v>2104.9333333333334</v>
      </c>
      <c r="HN9" s="204" t="s">
        <v>1947</v>
      </c>
      <c r="HO9" s="464">
        <v>0</v>
      </c>
      <c r="HP9" s="325" t="s">
        <v>2176</v>
      </c>
      <c r="HQ9" s="340">
        <v>75.06</v>
      </c>
      <c r="HR9" s="243" t="s">
        <v>2195</v>
      </c>
      <c r="HS9" s="340">
        <v>100</v>
      </c>
      <c r="HT9" s="204" t="s">
        <v>1947</v>
      </c>
      <c r="HU9" s="464">
        <v>0</v>
      </c>
      <c r="HV9" s="340" t="s">
        <v>2219</v>
      </c>
      <c r="HW9" s="240">
        <v>2.0299999999999998</v>
      </c>
      <c r="HX9" s="300" t="s">
        <v>2280</v>
      </c>
      <c r="HY9" s="340">
        <v>535</v>
      </c>
      <c r="HZ9" s="204" t="s">
        <v>1869</v>
      </c>
      <c r="IA9" s="464">
        <v>14.67</v>
      </c>
      <c r="IB9" s="340" t="s">
        <v>2122</v>
      </c>
      <c r="IC9" s="320">
        <v>50</v>
      </c>
      <c r="ID9" s="300" t="s">
        <v>2281</v>
      </c>
      <c r="IE9" s="340">
        <v>32.1</v>
      </c>
      <c r="IF9" s="319" t="s">
        <v>1500</v>
      </c>
      <c r="IG9" s="259">
        <v>817</v>
      </c>
      <c r="IH9" s="340" t="s">
        <v>2347</v>
      </c>
      <c r="IJ9" s="333" t="s">
        <v>2323</v>
      </c>
      <c r="IK9" s="486">
        <f>6+5+3+10+7</f>
        <v>31</v>
      </c>
      <c r="IL9" s="285" t="s">
        <v>1626</v>
      </c>
      <c r="IM9" s="341">
        <v>0.08</v>
      </c>
      <c r="IN9" s="340" t="s">
        <v>2434</v>
      </c>
      <c r="IO9" s="340">
        <f>9.9+76.9</f>
        <v>86.800000000000011</v>
      </c>
      <c r="IP9" s="305" t="s">
        <v>2419</v>
      </c>
      <c r="IQ9" s="202">
        <v>2000</v>
      </c>
      <c r="IR9" s="204" t="s">
        <v>2432</v>
      </c>
      <c r="IS9" s="464">
        <v>116</v>
      </c>
      <c r="IU9" s="320"/>
      <c r="IV9" s="305" t="s">
        <v>2478</v>
      </c>
      <c r="IW9" s="202">
        <v>2000</v>
      </c>
      <c r="IX9" s="483" t="s">
        <v>2490</v>
      </c>
      <c r="IY9" s="259">
        <f>100*(120+1000+330+310)</f>
        <v>176000</v>
      </c>
      <c r="IZ9" s="340" t="s">
        <v>2560</v>
      </c>
      <c r="JA9" s="320">
        <f>544.23-533.02</f>
        <v>11.210000000000036</v>
      </c>
      <c r="JB9" s="313" t="s">
        <v>2569</v>
      </c>
      <c r="JC9" s="202">
        <v>600</v>
      </c>
      <c r="JD9" s="483" t="s">
        <v>2490</v>
      </c>
      <c r="JE9" s="259">
        <f>100*(120+1000+330+310)</f>
        <v>176000</v>
      </c>
      <c r="JF9" s="482" t="s">
        <v>2610</v>
      </c>
      <c r="JH9" s="300" t="s">
        <v>2887</v>
      </c>
      <c r="JI9" s="202">
        <v>1954.8</v>
      </c>
      <c r="JJ9" s="483" t="s">
        <v>2490</v>
      </c>
      <c r="JK9" s="259">
        <f>100*(120+1000+330+310)</f>
        <v>176000</v>
      </c>
      <c r="JL9" s="340" t="s">
        <v>2652</v>
      </c>
      <c r="JM9" s="340">
        <v>4.09</v>
      </c>
      <c r="JN9" s="313" t="s">
        <v>2615</v>
      </c>
      <c r="JO9" s="202">
        <v>127.14</v>
      </c>
      <c r="JP9" s="340" t="s">
        <v>2646</v>
      </c>
      <c r="JQ9" s="259">
        <v>515008</v>
      </c>
      <c r="JR9" s="482" t="s">
        <v>2684</v>
      </c>
      <c r="JS9" s="340">
        <v>2.33</v>
      </c>
      <c r="JT9" s="300" t="s">
        <v>2717</v>
      </c>
      <c r="JU9" s="202">
        <v>10</v>
      </c>
      <c r="JV9" s="204" t="s">
        <v>2677</v>
      </c>
      <c r="JW9" s="286">
        <v>0</v>
      </c>
      <c r="JY9" s="484"/>
      <c r="JZ9" s="414" t="s">
        <v>2801</v>
      </c>
      <c r="KA9" s="202">
        <f>27+270.45+2700</f>
        <v>2997.45</v>
      </c>
      <c r="KB9" s="285" t="s">
        <v>2397</v>
      </c>
      <c r="KC9" s="341">
        <v>0</v>
      </c>
      <c r="KE9" s="484"/>
      <c r="KF9" s="243" t="s">
        <v>2804</v>
      </c>
      <c r="KG9" s="320">
        <v>64875.360000000001</v>
      </c>
      <c r="KH9" s="340" t="s">
        <v>2857</v>
      </c>
      <c r="KI9" s="320">
        <v>4053</v>
      </c>
      <c r="KJ9" s="474" t="s">
        <v>2906</v>
      </c>
      <c r="KK9" s="395">
        <v>1.77</v>
      </c>
      <c r="KL9" s="300" t="s">
        <v>2905</v>
      </c>
      <c r="KM9" s="340">
        <v>79.72</v>
      </c>
      <c r="KN9" s="487" t="s">
        <v>2951</v>
      </c>
      <c r="KO9" s="451">
        <f>SUM(KN5:KN8)</f>
        <v>197000</v>
      </c>
      <c r="KP9" s="340" t="s">
        <v>2796</v>
      </c>
      <c r="KQ9" s="395">
        <f>72.67+1.57</f>
        <v>74.239999999999995</v>
      </c>
      <c r="KR9" s="300" t="s">
        <v>2976</v>
      </c>
      <c r="KS9" s="340">
        <v>487</v>
      </c>
      <c r="KT9" s="449">
        <v>20000</v>
      </c>
      <c r="KU9" s="450">
        <v>45412</v>
      </c>
      <c r="KV9" s="583" t="s">
        <v>3041</v>
      </c>
      <c r="KW9" s="331">
        <v>3129.11</v>
      </c>
      <c r="KX9" s="300" t="s">
        <v>3047</v>
      </c>
      <c r="KY9" s="340">
        <f>11+4</f>
        <v>15</v>
      </c>
      <c r="KZ9" s="340" t="s">
        <v>2963</v>
      </c>
      <c r="LA9" s="259">
        <v>-119500</v>
      </c>
      <c r="LB9" s="616" t="s">
        <v>2796</v>
      </c>
      <c r="LC9" s="395">
        <v>61.000999999999998</v>
      </c>
      <c r="LD9" s="443" t="s">
        <v>2070</v>
      </c>
      <c r="LE9" s="441">
        <v>291.25</v>
      </c>
      <c r="LF9" s="614" t="s">
        <v>2952</v>
      </c>
      <c r="LG9" s="318">
        <v>-82000</v>
      </c>
      <c r="LH9" s="667" t="s">
        <v>3159</v>
      </c>
      <c r="LI9" s="629">
        <v>793.69</v>
      </c>
      <c r="LJ9" s="443" t="s">
        <v>2464</v>
      </c>
      <c r="LK9" s="441">
        <v>378.81</v>
      </c>
      <c r="LL9" s="650" t="s">
        <v>2952</v>
      </c>
      <c r="LM9" s="318">
        <v>-88000</v>
      </c>
      <c r="LN9" s="728"/>
      <c r="LO9" s="320"/>
      <c r="LP9" s="442" t="s">
        <v>3236</v>
      </c>
      <c r="LQ9" s="202">
        <v>4000.04</v>
      </c>
      <c r="LR9" s="677" t="s">
        <v>3267</v>
      </c>
      <c r="LS9" s="259">
        <v>-69866.81</v>
      </c>
      <c r="LT9" s="729" t="s">
        <v>3321</v>
      </c>
      <c r="LU9" s="395"/>
      <c r="LV9" s="442" t="s">
        <v>3327</v>
      </c>
      <c r="LW9" s="202"/>
      <c r="LX9" s="728" t="s">
        <v>3267</v>
      </c>
      <c r="LY9" s="259">
        <v>-69866.81</v>
      </c>
      <c r="LZ9" s="460">
        <v>45350</v>
      </c>
    </row>
    <row r="10" spans="1:33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4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4" t="s">
        <v>993</v>
      </c>
      <c r="AL10" s="286">
        <v>5000</v>
      </c>
      <c r="AO10" s="340" t="s">
        <v>1063</v>
      </c>
      <c r="AP10" s="340">
        <f>SUM(AP33:AP44)</f>
        <v>1111.54</v>
      </c>
      <c r="AQ10" s="474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1133</v>
      </c>
      <c r="BE10" s="340" t="s">
        <v>1201</v>
      </c>
      <c r="BF10" s="340">
        <f>SUM(BF30:BF35)</f>
        <v>246.62</v>
      </c>
      <c r="BG10" s="474" t="s">
        <v>993</v>
      </c>
      <c r="BH10" s="286">
        <v>4000</v>
      </c>
      <c r="BI10" s="217" t="s">
        <v>1133</v>
      </c>
      <c r="BK10" s="217" t="s">
        <v>1201</v>
      </c>
      <c r="BL10" s="217">
        <f>SUM(BL30:BL32)</f>
        <v>63.9</v>
      </c>
      <c r="BM10" s="474" t="s">
        <v>993</v>
      </c>
      <c r="BN10" s="286">
        <v>4000</v>
      </c>
      <c r="BO10" s="217" t="s">
        <v>1133</v>
      </c>
      <c r="BQ10" s="217" t="s">
        <v>1201</v>
      </c>
      <c r="BR10" s="217">
        <f>SUM(BR30:BR31)</f>
        <v>20</v>
      </c>
      <c r="BS10" s="474" t="s">
        <v>993</v>
      </c>
      <c r="BT10" s="260">
        <v>66</v>
      </c>
      <c r="BU10" s="217" t="s">
        <v>1133</v>
      </c>
      <c r="BW10" s="217" t="s">
        <v>1201</v>
      </c>
      <c r="BX10" s="217">
        <f>SUM(BX30:BX32)</f>
        <v>44.8</v>
      </c>
      <c r="BY10" s="325" t="s">
        <v>1262</v>
      </c>
      <c r="BZ10" s="261"/>
      <c r="CC10" s="217" t="s">
        <v>1201</v>
      </c>
      <c r="CD10" s="217">
        <f>SUM(CD30:CD33)</f>
        <v>295.55</v>
      </c>
      <c r="CE10" s="325" t="s">
        <v>1269</v>
      </c>
      <c r="CF10" s="261"/>
      <c r="CG10" s="217" t="s">
        <v>1133</v>
      </c>
      <c r="CI10" s="217" t="s">
        <v>1201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1201</v>
      </c>
      <c r="CP10" s="217">
        <f>SUM(CP28:CP30)</f>
        <v>136</v>
      </c>
      <c r="CQ10" s="474" t="s">
        <v>1309</v>
      </c>
      <c r="CR10" s="286">
        <v>12000</v>
      </c>
      <c r="CS10" s="217" t="s">
        <v>1133</v>
      </c>
      <c r="CU10" s="217" t="s">
        <v>1201</v>
      </c>
      <c r="CV10" s="217">
        <f>SUM(CV26:CV31)</f>
        <v>276.49</v>
      </c>
      <c r="CW10" s="285" t="s">
        <v>1356</v>
      </c>
      <c r="CX10" s="261">
        <v>10</v>
      </c>
      <c r="CY10" s="217" t="s">
        <v>1133</v>
      </c>
      <c r="DA10" s="269" t="s">
        <v>1201</v>
      </c>
      <c r="DB10" s="217">
        <f>SUM(DB25:DB30)</f>
        <v>661.82</v>
      </c>
      <c r="DC10" s="474" t="s">
        <v>1407</v>
      </c>
      <c r="DD10" s="485">
        <v>5000</v>
      </c>
      <c r="DG10" s="269" t="s">
        <v>1201</v>
      </c>
      <c r="DH10" s="274">
        <f>SUM(DH36:DH44)</f>
        <v>459.96999999999997</v>
      </c>
      <c r="DI10" s="474" t="s">
        <v>1407</v>
      </c>
      <c r="DJ10" s="261">
        <v>15007</v>
      </c>
      <c r="DM10" s="269" t="s">
        <v>1510</v>
      </c>
      <c r="DN10" s="274">
        <f>SUM(DN31:DN35)</f>
        <v>77.37</v>
      </c>
      <c r="DO10" s="218" t="s">
        <v>1569</v>
      </c>
      <c r="DP10" s="462">
        <v>-2524</v>
      </c>
      <c r="DS10" s="256" t="s">
        <v>1577</v>
      </c>
      <c r="DT10" s="274">
        <f>SUM(DT19:DT27)</f>
        <v>10919.66</v>
      </c>
      <c r="DU10" s="218" t="s">
        <v>129</v>
      </c>
      <c r="DV10" s="462">
        <v>0</v>
      </c>
      <c r="DW10" s="340" t="s">
        <v>1603</v>
      </c>
      <c r="DY10" s="297" t="s">
        <v>1534</v>
      </c>
      <c r="DZ10" s="340">
        <f>SUM(DZ23:DZ24)</f>
        <v>45.1</v>
      </c>
      <c r="EA10" s="218" t="s">
        <v>1558</v>
      </c>
      <c r="EB10" s="218">
        <v>1E-3</v>
      </c>
      <c r="EC10" s="340" t="s">
        <v>1012</v>
      </c>
      <c r="ED10" s="340">
        <v>1.1000000000000001</v>
      </c>
      <c r="EE10" s="297" t="s">
        <v>1534</v>
      </c>
      <c r="EF10" s="340">
        <f>SUM(EF22:EF22)</f>
        <v>10</v>
      </c>
      <c r="EH10" s="340" t="s">
        <v>1263</v>
      </c>
      <c r="EI10" s="259">
        <v>-20000</v>
      </c>
      <c r="EJ10" s="197" t="s">
        <v>1575</v>
      </c>
      <c r="EL10" s="303" t="s">
        <v>1674</v>
      </c>
      <c r="EM10" s="340">
        <f>SUM(EM24:EM27)</f>
        <v>151.75</v>
      </c>
      <c r="EN10" s="340" t="s">
        <v>1263</v>
      </c>
      <c r="EO10" s="259">
        <v>-20000</v>
      </c>
      <c r="EP10" s="340" t="s">
        <v>1796</v>
      </c>
      <c r="EQ10" s="340">
        <v>12.26</v>
      </c>
      <c r="ER10" s="304" t="s">
        <v>1387</v>
      </c>
      <c r="ES10" s="340">
        <f>SUM(ES13:ES13)</f>
        <v>0</v>
      </c>
      <c r="ET10" s="340" t="s">
        <v>1263</v>
      </c>
      <c r="EU10" s="259">
        <v>-20000</v>
      </c>
      <c r="EX10" s="304" t="s">
        <v>1387</v>
      </c>
      <c r="EY10" s="340">
        <f>SUM(EY13:EY13)</f>
        <v>0</v>
      </c>
      <c r="EZ10" s="340" t="s">
        <v>1263</v>
      </c>
      <c r="FA10" s="259">
        <v>-20000</v>
      </c>
      <c r="FB10" s="340" t="s">
        <v>1763</v>
      </c>
      <c r="FC10" s="340">
        <v>10.000999999999999</v>
      </c>
      <c r="FD10" s="304" t="s">
        <v>1387</v>
      </c>
      <c r="FE10" s="340">
        <f>SUM(FE12:FE12)</f>
        <v>5.73</v>
      </c>
      <c r="FF10" s="340" t="s">
        <v>1263</v>
      </c>
      <c r="FG10" s="259">
        <v>-20000</v>
      </c>
      <c r="FH10" s="340" t="s">
        <v>1603</v>
      </c>
      <c r="FJ10" s="304" t="s">
        <v>1387</v>
      </c>
      <c r="FK10" s="340">
        <f>SUM(FK12:FK12)</f>
        <v>288.75</v>
      </c>
      <c r="FL10" s="285" t="s">
        <v>1620</v>
      </c>
      <c r="FM10" s="340">
        <v>80</v>
      </c>
      <c r="FN10" s="340" t="s">
        <v>1556</v>
      </c>
      <c r="FO10" s="340">
        <f>51.7+4.8+1.85</f>
        <v>58.35</v>
      </c>
      <c r="FP10" s="301" t="s">
        <v>1676</v>
      </c>
      <c r="FQ10" s="340">
        <f>SUM(FQ16:FQ17)</f>
        <v>2165.6999999999998</v>
      </c>
      <c r="FR10" s="319" t="s">
        <v>1407</v>
      </c>
      <c r="FS10" s="204">
        <v>0</v>
      </c>
      <c r="FV10" s="301" t="s">
        <v>1676</v>
      </c>
      <c r="FW10" s="340">
        <f>SUM(FW17:FW17)</f>
        <v>29.62</v>
      </c>
      <c r="FX10" s="204" t="s">
        <v>1881</v>
      </c>
      <c r="FY10" s="340">
        <v>2498</v>
      </c>
      <c r="FZ10" s="467" t="s">
        <v>1921</v>
      </c>
      <c r="GA10" s="340">
        <v>100</v>
      </c>
      <c r="GB10" s="303" t="s">
        <v>1678</v>
      </c>
      <c r="GC10" s="340">
        <f>SUM(GC28:GC32)</f>
        <v>183.9</v>
      </c>
      <c r="GD10" s="204" t="s">
        <v>1881</v>
      </c>
      <c r="GE10" s="340">
        <v>2498</v>
      </c>
      <c r="GF10" s="340" t="s">
        <v>1955</v>
      </c>
      <c r="GG10" s="340">
        <v>110</v>
      </c>
      <c r="GH10" s="303" t="s">
        <v>1678</v>
      </c>
      <c r="GI10" s="340">
        <f>SUM(GI29:GI31)</f>
        <v>152.62</v>
      </c>
      <c r="GJ10" s="285" t="s">
        <v>1626</v>
      </c>
      <c r="GK10" s="464">
        <v>5.0010000000000003</v>
      </c>
      <c r="GN10" s="303" t="s">
        <v>1678</v>
      </c>
      <c r="GO10" s="340">
        <f>SUM(GO29:GO42)</f>
        <v>475.85999999999996</v>
      </c>
      <c r="GP10" s="285" t="s">
        <v>1626</v>
      </c>
      <c r="GQ10" s="464">
        <v>0.53</v>
      </c>
      <c r="GR10" s="340" t="s">
        <v>1956</v>
      </c>
      <c r="GT10" s="303" t="s">
        <v>1678</v>
      </c>
      <c r="GU10" s="340">
        <f>SUM(GU26:GU32)</f>
        <v>196.22000000000003</v>
      </c>
      <c r="GV10" s="285" t="s">
        <v>1626</v>
      </c>
      <c r="GW10" s="464">
        <v>0.04</v>
      </c>
      <c r="GX10" s="340" t="s">
        <v>2058</v>
      </c>
      <c r="GY10" s="340">
        <v>50</v>
      </c>
      <c r="GZ10" s="301" t="s">
        <v>1676</v>
      </c>
      <c r="HA10" s="340">
        <f>SUM(HA15:HA17)</f>
        <v>2381.65</v>
      </c>
      <c r="HB10" s="204" t="s">
        <v>1869</v>
      </c>
      <c r="HC10" s="464">
        <v>30</v>
      </c>
      <c r="HF10" s="303" t="s">
        <v>1678</v>
      </c>
      <c r="HG10" s="340">
        <f>SUM(HG28:HG29)</f>
        <v>107.9</v>
      </c>
      <c r="HH10" s="285" t="s">
        <v>1626</v>
      </c>
      <c r="HI10" s="341">
        <v>0.06</v>
      </c>
      <c r="HJ10" s="340" t="s">
        <v>1793</v>
      </c>
      <c r="HK10" s="202">
        <v>13</v>
      </c>
      <c r="HL10" s="299" t="s">
        <v>2033</v>
      </c>
      <c r="HM10" s="441">
        <f>2525.92/6</f>
        <v>420.98666666666668</v>
      </c>
      <c r="HN10" s="204" t="s">
        <v>1869</v>
      </c>
      <c r="HO10" s="464">
        <v>16</v>
      </c>
      <c r="HQ10" s="202"/>
      <c r="HR10" s="243" t="s">
        <v>2198</v>
      </c>
      <c r="HS10" s="340">
        <v>156.5</v>
      </c>
      <c r="HT10" s="204" t="s">
        <v>1869</v>
      </c>
      <c r="HU10" s="464">
        <v>14.67</v>
      </c>
      <c r="HW10" s="240"/>
      <c r="HX10" s="243" t="s">
        <v>2195</v>
      </c>
      <c r="HY10" s="340">
        <v>100</v>
      </c>
      <c r="HZ10" s="285" t="s">
        <v>1626</v>
      </c>
      <c r="IA10" s="341">
        <v>7.0000000000000007E-2</v>
      </c>
      <c r="IB10" s="340" t="s">
        <v>1793</v>
      </c>
      <c r="IC10" s="320">
        <v>13.54</v>
      </c>
      <c r="ID10" s="243" t="s">
        <v>2274</v>
      </c>
      <c r="IE10" s="259">
        <f>11000+300</f>
        <v>11300</v>
      </c>
      <c r="IF10" s="319" t="s">
        <v>1501</v>
      </c>
      <c r="IG10" s="259">
        <v>1463</v>
      </c>
      <c r="IH10" s="340" t="s">
        <v>2315</v>
      </c>
      <c r="II10" s="340">
        <v>10</v>
      </c>
      <c r="IJ10" s="313" t="s">
        <v>3216</v>
      </c>
      <c r="IK10" s="486">
        <v>3179</v>
      </c>
      <c r="IL10" s="204" t="s">
        <v>2282</v>
      </c>
      <c r="IM10" s="464">
        <v>35</v>
      </c>
      <c r="IN10" s="217" t="s">
        <v>2439</v>
      </c>
      <c r="IO10" s="340">
        <v>46.26</v>
      </c>
      <c r="IP10" s="300" t="s">
        <v>2392</v>
      </c>
      <c r="IQ10" s="335">
        <v>210.89</v>
      </c>
      <c r="IR10" s="204" t="s">
        <v>1832</v>
      </c>
      <c r="IS10" s="334">
        <v>2500</v>
      </c>
      <c r="IT10" s="340" t="s">
        <v>2433</v>
      </c>
      <c r="IU10" s="320"/>
      <c r="IV10" s="313" t="s">
        <v>2538</v>
      </c>
      <c r="IW10" s="488">
        <v>2000</v>
      </c>
      <c r="IX10" s="340" t="s">
        <v>2356</v>
      </c>
      <c r="IY10" s="259">
        <v>360000</v>
      </c>
      <c r="JA10" s="320"/>
      <c r="JB10" s="313" t="s">
        <v>2570</v>
      </c>
      <c r="JC10" s="488">
        <v>454.04</v>
      </c>
      <c r="JD10" s="340" t="s">
        <v>2356</v>
      </c>
      <c r="JE10" s="259">
        <v>590000</v>
      </c>
      <c r="JH10" s="300" t="s">
        <v>1980</v>
      </c>
      <c r="JI10" s="202">
        <v>58.77</v>
      </c>
      <c r="JJ10" s="340" t="s">
        <v>2356</v>
      </c>
      <c r="JK10" s="464">
        <v>0</v>
      </c>
      <c r="JL10" s="340" t="s">
        <v>2348</v>
      </c>
      <c r="JM10" s="331"/>
      <c r="JN10" s="300" t="s">
        <v>2641</v>
      </c>
      <c r="JO10" s="202">
        <f>259.2+410.4</f>
        <v>669.59999999999991</v>
      </c>
      <c r="JP10" s="285" t="s">
        <v>2397</v>
      </c>
      <c r="JQ10" s="464">
        <v>31</v>
      </c>
      <c r="JR10" s="482" t="s">
        <v>2696</v>
      </c>
      <c r="JS10" s="340">
        <v>3.4</v>
      </c>
      <c r="JT10" s="300" t="s">
        <v>2707</v>
      </c>
      <c r="JU10" s="335">
        <v>5.38</v>
      </c>
      <c r="JV10" s="285" t="s">
        <v>1625</v>
      </c>
      <c r="JW10" s="318">
        <v>-123</v>
      </c>
      <c r="JX10" s="340" t="s">
        <v>2784</v>
      </c>
      <c r="JY10" s="331"/>
      <c r="JZ10" s="313" t="s">
        <v>2811</v>
      </c>
      <c r="KA10" s="202">
        <v>5.99</v>
      </c>
      <c r="KB10" s="204" t="s">
        <v>2776</v>
      </c>
      <c r="KC10" s="464">
        <v>-166</v>
      </c>
      <c r="KD10" s="340" t="s">
        <v>2784</v>
      </c>
      <c r="KE10" s="331"/>
      <c r="KF10" s="243" t="s">
        <v>2803</v>
      </c>
      <c r="KG10" s="320">
        <f>136363-KG12</f>
        <v>136169.60999999999</v>
      </c>
      <c r="KH10" s="340" t="s">
        <v>2864</v>
      </c>
      <c r="KI10" s="320"/>
      <c r="KK10" s="320"/>
      <c r="KL10" s="254" t="s">
        <v>2964</v>
      </c>
      <c r="KM10" s="340">
        <f>82.58+102.97</f>
        <v>185.55</v>
      </c>
      <c r="KN10" s="340" t="s">
        <v>2860</v>
      </c>
      <c r="KO10" s="259">
        <v>-70600</v>
      </c>
      <c r="KP10" s="204" t="s">
        <v>3204</v>
      </c>
      <c r="KQ10" s="395">
        <v>35.14</v>
      </c>
      <c r="KR10" s="300" t="s">
        <v>3014</v>
      </c>
      <c r="KS10" s="340">
        <v>6.48</v>
      </c>
      <c r="KT10" s="487" t="s">
        <v>2951</v>
      </c>
      <c r="KU10" s="451">
        <f>SUM(KT4:KT9)</f>
        <v>247000</v>
      </c>
      <c r="KV10" s="340" t="s">
        <v>2796</v>
      </c>
      <c r="KW10" s="395">
        <v>73</v>
      </c>
      <c r="KX10" s="300" t="s">
        <v>3048</v>
      </c>
      <c r="KY10" s="204">
        <v>20</v>
      </c>
      <c r="KZ10" s="285" t="s">
        <v>2952</v>
      </c>
      <c r="LA10" s="318">
        <v>-82000</v>
      </c>
      <c r="LB10" s="617" t="s">
        <v>3202</v>
      </c>
      <c r="LC10" s="395">
        <v>26.18</v>
      </c>
      <c r="LD10" s="443" t="s">
        <v>3145</v>
      </c>
      <c r="LE10" s="441">
        <v>119.42</v>
      </c>
      <c r="LF10" s="618" t="s">
        <v>2541</v>
      </c>
      <c r="LG10" s="259">
        <v>-4000</v>
      </c>
      <c r="LH10" s="667" t="s">
        <v>3163</v>
      </c>
      <c r="LI10" s="629">
        <v>793.69</v>
      </c>
      <c r="LJ10" s="300" t="s">
        <v>3048</v>
      </c>
      <c r="LK10" s="629">
        <v>30</v>
      </c>
      <c r="LL10" s="651" t="s">
        <v>2541</v>
      </c>
      <c r="LM10" s="259">
        <v>-4000</v>
      </c>
      <c r="LN10" s="729" t="s">
        <v>3253</v>
      </c>
      <c r="LO10" s="802">
        <v>10967.27</v>
      </c>
      <c r="LP10" s="442" t="s">
        <v>3296</v>
      </c>
      <c r="LQ10" s="202">
        <v>1500.15</v>
      </c>
      <c r="LR10" s="685" t="s">
        <v>3214</v>
      </c>
      <c r="LS10" s="259">
        <v>-131103</v>
      </c>
      <c r="LT10" s="729" t="s">
        <v>3049</v>
      </c>
      <c r="LU10" s="395"/>
      <c r="LV10" s="721" t="s">
        <v>3244</v>
      </c>
      <c r="LX10" s="728" t="s">
        <v>3214</v>
      </c>
      <c r="LY10" s="259">
        <v>-131103</v>
      </c>
      <c r="LZ10" s="460">
        <v>45350</v>
      </c>
    </row>
    <row r="11" spans="1:33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2"/>
      <c r="AA11" s="340" t="s">
        <v>1095</v>
      </c>
      <c r="AB11" s="340">
        <v>55</v>
      </c>
      <c r="AE11" s="474" t="s">
        <v>1078</v>
      </c>
      <c r="AF11" s="261">
        <v>-5000</v>
      </c>
      <c r="AG11" s="340" t="s">
        <v>1092</v>
      </c>
      <c r="AH11" s="340">
        <v>0</v>
      </c>
      <c r="AK11" s="474" t="s">
        <v>1078</v>
      </c>
      <c r="AL11" s="261">
        <v>-5000</v>
      </c>
      <c r="AM11" s="340" t="s">
        <v>1050</v>
      </c>
      <c r="AQ11" s="474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4" t="s">
        <v>1111</v>
      </c>
      <c r="AX11" s="261">
        <v>-4000</v>
      </c>
      <c r="AY11" s="192" t="s">
        <v>1235</v>
      </c>
      <c r="AZ11" s="259">
        <v>30000</v>
      </c>
      <c r="BA11" s="474" t="s">
        <v>1111</v>
      </c>
      <c r="BB11" s="462">
        <f t="shared" si="0"/>
        <v>-4000</v>
      </c>
      <c r="BC11" s="340" t="s">
        <v>1188</v>
      </c>
      <c r="BD11" s="340" t="s">
        <v>657</v>
      </c>
      <c r="BG11" s="474" t="s">
        <v>1111</v>
      </c>
      <c r="BH11" s="261">
        <v>-4000</v>
      </c>
      <c r="BI11" s="217" t="s">
        <v>1214</v>
      </c>
      <c r="BJ11" s="217">
        <v>24.47</v>
      </c>
      <c r="BM11" s="474" t="s">
        <v>1111</v>
      </c>
      <c r="BN11" s="261">
        <v>-4000</v>
      </c>
      <c r="BO11" s="261" t="s">
        <v>1247</v>
      </c>
      <c r="BP11" s="217">
        <v>71</v>
      </c>
      <c r="BS11" s="474" t="s">
        <v>1111</v>
      </c>
      <c r="BT11" s="260">
        <v>-66</v>
      </c>
      <c r="BU11" s="261" t="s">
        <v>1247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1247</v>
      </c>
      <c r="CH11" s="217">
        <v>65</v>
      </c>
      <c r="CK11" s="218" t="s">
        <v>1145</v>
      </c>
      <c r="CL11" s="462"/>
      <c r="CM11" s="261" t="s">
        <v>1247</v>
      </c>
      <c r="CN11" s="217">
        <v>69.959999999999994</v>
      </c>
      <c r="CQ11" s="285" t="s">
        <v>1091</v>
      </c>
      <c r="CR11" s="261">
        <v>10</v>
      </c>
      <c r="CS11" s="261" t="s">
        <v>1247</v>
      </c>
      <c r="CT11" s="217">
        <v>72.599999999999994</v>
      </c>
      <c r="CW11" s="489" t="s">
        <v>423</v>
      </c>
      <c r="CX11" s="490" t="s">
        <v>686</v>
      </c>
      <c r="CY11" s="261" t="s">
        <v>1247</v>
      </c>
      <c r="CZ11" s="217">
        <v>72</v>
      </c>
      <c r="DC11" s="285" t="s">
        <v>1356</v>
      </c>
      <c r="DD11" s="261">
        <v>10</v>
      </c>
      <c r="DE11" s="217" t="s">
        <v>1133</v>
      </c>
      <c r="DI11" s="285" t="s">
        <v>1356</v>
      </c>
      <c r="DJ11" s="261" t="s">
        <v>642</v>
      </c>
      <c r="DK11" s="217" t="s">
        <v>1133</v>
      </c>
      <c r="DO11" s="218" t="s">
        <v>129</v>
      </c>
      <c r="DP11" s="462">
        <v>0</v>
      </c>
      <c r="DQ11" s="217" t="s">
        <v>1133</v>
      </c>
      <c r="DS11" s="269" t="s">
        <v>1534</v>
      </c>
      <c r="DT11" s="274">
        <f>SUM(DT28:DT35)</f>
        <v>361.23</v>
      </c>
      <c r="DU11" s="218" t="s">
        <v>1558</v>
      </c>
      <c r="DV11" s="462">
        <v>1.0009999999999999</v>
      </c>
      <c r="DW11" s="340" t="s">
        <v>1799</v>
      </c>
      <c r="DX11" s="340">
        <v>12.37</v>
      </c>
      <c r="DY11" s="243" t="s">
        <v>1533</v>
      </c>
      <c r="DZ11" s="340">
        <v>133</v>
      </c>
      <c r="EA11" s="478" t="s">
        <v>1055</v>
      </c>
      <c r="EB11" s="340">
        <v>110</v>
      </c>
      <c r="EE11" s="243" t="s">
        <v>1002</v>
      </c>
      <c r="EF11" s="340">
        <v>1800.06</v>
      </c>
      <c r="EH11" s="483" t="s">
        <v>1630</v>
      </c>
      <c r="EI11" s="483"/>
      <c r="EJ11" s="340" t="s">
        <v>1556</v>
      </c>
      <c r="EK11" s="340">
        <v>47</v>
      </c>
      <c r="EL11" s="243" t="s">
        <v>1002</v>
      </c>
      <c r="EM11" s="340">
        <v>1800.07</v>
      </c>
      <c r="EN11" s="483" t="s">
        <v>1659</v>
      </c>
      <c r="EO11" s="483"/>
      <c r="ER11" s="305" t="s">
        <v>1002</v>
      </c>
      <c r="ES11" s="340">
        <v>1800.08</v>
      </c>
      <c r="ET11" s="483" t="s">
        <v>1688</v>
      </c>
      <c r="EU11" s="483"/>
      <c r="EX11" s="305" t="s">
        <v>1002</v>
      </c>
      <c r="EY11" s="340">
        <v>1800.09</v>
      </c>
      <c r="EZ11" s="483" t="s">
        <v>1724</v>
      </c>
      <c r="FA11" s="483"/>
      <c r="FD11" s="305" t="s">
        <v>1002</v>
      </c>
      <c r="FE11" s="340">
        <v>1800.1</v>
      </c>
      <c r="FF11" s="483" t="s">
        <v>1724</v>
      </c>
      <c r="FG11" s="483"/>
      <c r="FH11" s="340" t="s">
        <v>1793</v>
      </c>
      <c r="FI11" s="340">
        <v>13.33</v>
      </c>
      <c r="FJ11" s="305" t="s">
        <v>1002</v>
      </c>
      <c r="FK11" s="340">
        <v>1800.11</v>
      </c>
      <c r="FL11" s="340" t="s">
        <v>1263</v>
      </c>
      <c r="FM11" s="259">
        <v>-20000</v>
      </c>
      <c r="FP11" s="304" t="s">
        <v>1387</v>
      </c>
      <c r="FQ11" s="340">
        <f>SUM(FQ15:FQ15)</f>
        <v>0</v>
      </c>
      <c r="FR11" s="285" t="s">
        <v>1620</v>
      </c>
      <c r="FS11" s="340">
        <v>146</v>
      </c>
      <c r="FT11" s="197" t="s">
        <v>1575</v>
      </c>
      <c r="FV11" s="304" t="s">
        <v>1387</v>
      </c>
      <c r="FW11" s="340">
        <f>SUM(FW16:FW16)</f>
        <v>3779.24</v>
      </c>
      <c r="FX11" s="319" t="s">
        <v>1522</v>
      </c>
      <c r="FY11" s="340">
        <v>702</v>
      </c>
      <c r="GA11" s="240"/>
      <c r="GB11" s="301" t="s">
        <v>1676</v>
      </c>
      <c r="GC11" s="340">
        <f>SUM(GC18:GC18)</f>
        <v>0</v>
      </c>
      <c r="GD11" s="319" t="s">
        <v>1522</v>
      </c>
      <c r="GE11" s="340">
        <v>1200</v>
      </c>
      <c r="GF11" s="340" t="s">
        <v>1971</v>
      </c>
      <c r="GH11" s="301" t="s">
        <v>1676</v>
      </c>
      <c r="GI11" s="340">
        <f>SUM(GI18:GI18)</f>
        <v>3.87</v>
      </c>
      <c r="GJ11" s="204" t="s">
        <v>1881</v>
      </c>
      <c r="GK11" s="340">
        <v>2499</v>
      </c>
      <c r="GL11" s="197" t="s">
        <v>1575</v>
      </c>
      <c r="GN11" s="301" t="s">
        <v>1676</v>
      </c>
      <c r="GO11" s="340">
        <f>SUM(GO17:GO19)</f>
        <v>1950.63</v>
      </c>
      <c r="GP11" s="204" t="s">
        <v>1881</v>
      </c>
      <c r="GQ11" s="340">
        <v>2499</v>
      </c>
      <c r="GR11" s="340" t="s">
        <v>2035</v>
      </c>
      <c r="GS11" s="340">
        <v>260</v>
      </c>
      <c r="GT11" s="301" t="s">
        <v>1676</v>
      </c>
      <c r="GU11" s="340" t="s">
        <v>686</v>
      </c>
      <c r="GV11" s="204" t="s">
        <v>1881</v>
      </c>
      <c r="GW11" s="340">
        <v>2499</v>
      </c>
      <c r="GZ11" s="304" t="s">
        <v>1387</v>
      </c>
      <c r="HA11" s="340">
        <f>SUM(HA14:HA14)</f>
        <v>1476</v>
      </c>
      <c r="HB11" s="285" t="s">
        <v>1626</v>
      </c>
      <c r="HC11" s="464">
        <v>0.05</v>
      </c>
      <c r="HF11" s="301" t="s">
        <v>1676</v>
      </c>
      <c r="HG11" s="340">
        <f>SUM(HG18:HG19)</f>
        <v>45</v>
      </c>
      <c r="HH11" s="204" t="s">
        <v>1832</v>
      </c>
      <c r="HI11" s="340">
        <v>2499</v>
      </c>
      <c r="HJ11" s="340" t="s">
        <v>1573</v>
      </c>
      <c r="HK11" s="240"/>
      <c r="HL11" s="299" t="s">
        <v>2134</v>
      </c>
      <c r="HM11" s="340">
        <v>80.959999999999994</v>
      </c>
      <c r="HN11" s="285" t="s">
        <v>1626</v>
      </c>
      <c r="HO11" s="341">
        <v>0.06</v>
      </c>
      <c r="HR11" s="243" t="s">
        <v>2034</v>
      </c>
      <c r="HS11" s="441">
        <f>HS12*5</f>
        <v>2104.9333333333334</v>
      </c>
      <c r="HT11" s="285" t="s">
        <v>1626</v>
      </c>
      <c r="HU11" s="341">
        <v>7.0000000000000007E-2</v>
      </c>
      <c r="HV11" s="340" t="s">
        <v>1603</v>
      </c>
      <c r="HW11" s="240"/>
      <c r="HX11" s="243" t="s">
        <v>2224</v>
      </c>
      <c r="HY11" s="340">
        <f>1000+1000+1000</f>
        <v>3000</v>
      </c>
      <c r="HZ11" s="204" t="s">
        <v>2173</v>
      </c>
      <c r="IA11" s="464">
        <v>-10</v>
      </c>
      <c r="IB11" s="340" t="s">
        <v>2290</v>
      </c>
      <c r="IC11" s="320">
        <v>12.88</v>
      </c>
      <c r="ID11" s="328" t="s">
        <v>1976</v>
      </c>
      <c r="IE11" s="318">
        <v>3000</v>
      </c>
      <c r="IF11" s="319" t="s">
        <v>2229</v>
      </c>
      <c r="IG11" s="259">
        <v>5794</v>
      </c>
      <c r="IH11" s="340" t="s">
        <v>2351</v>
      </c>
      <c r="II11" s="340">
        <v>13.5</v>
      </c>
      <c r="IJ11" s="313" t="s">
        <v>2070</v>
      </c>
      <c r="IK11" s="340">
        <v>288.75</v>
      </c>
      <c r="IL11" s="204" t="s">
        <v>1832</v>
      </c>
      <c r="IM11" s="334">
        <v>2499</v>
      </c>
      <c r="IN11" s="217" t="s">
        <v>2440</v>
      </c>
      <c r="IO11" s="340">
        <v>10</v>
      </c>
      <c r="IP11" s="300" t="s">
        <v>2642</v>
      </c>
      <c r="IQ11" s="202">
        <f>406.6+487.92</f>
        <v>894.52</v>
      </c>
      <c r="IR11" s="319" t="s">
        <v>1500</v>
      </c>
      <c r="IS11" s="259">
        <v>364</v>
      </c>
      <c r="IT11" s="340" t="s">
        <v>2487</v>
      </c>
      <c r="IU11" s="320">
        <v>15.03</v>
      </c>
      <c r="IV11" s="313" t="s">
        <v>2482</v>
      </c>
      <c r="IW11" s="488">
        <v>135.25</v>
      </c>
      <c r="IX11" s="285" t="s">
        <v>2397</v>
      </c>
      <c r="IY11" s="341">
        <v>-49.87</v>
      </c>
      <c r="IZ11" s="340" t="s">
        <v>2433</v>
      </c>
      <c r="JA11" s="320"/>
      <c r="JB11" s="300" t="s">
        <v>2641</v>
      </c>
      <c r="JC11" s="202">
        <f>259.2+410.4</f>
        <v>669.59999999999991</v>
      </c>
      <c r="JD11" s="285" t="s">
        <v>2397</v>
      </c>
      <c r="JE11" s="341">
        <v>0</v>
      </c>
      <c r="JF11" s="340" t="s">
        <v>2348</v>
      </c>
      <c r="JG11" s="331"/>
      <c r="JH11" s="300" t="s">
        <v>2551</v>
      </c>
      <c r="JI11" s="202">
        <f>259.2+410.4</f>
        <v>669.59999999999991</v>
      </c>
      <c r="JJ11" s="285" t="s">
        <v>2397</v>
      </c>
      <c r="JK11" s="341">
        <v>-54</v>
      </c>
      <c r="JL11" s="340" t="s">
        <v>2122</v>
      </c>
      <c r="JM11" s="395">
        <v>52.000999999999998</v>
      </c>
      <c r="JN11" s="243" t="s">
        <v>2686</v>
      </c>
      <c r="JO11" s="320">
        <v>1396.9</v>
      </c>
      <c r="JP11" s="285" t="s">
        <v>1625</v>
      </c>
      <c r="JQ11" s="318">
        <v>-1063</v>
      </c>
      <c r="JR11" s="482" t="s">
        <v>2713</v>
      </c>
      <c r="JS11" s="320">
        <v>1.21</v>
      </c>
      <c r="JT11" s="243" t="s">
        <v>2686</v>
      </c>
      <c r="JU11" s="320">
        <v>1371.77</v>
      </c>
      <c r="JV11" s="204" t="s">
        <v>2634</v>
      </c>
      <c r="JW11" s="259">
        <v>2600</v>
      </c>
      <c r="JX11" s="340" t="s">
        <v>2772</v>
      </c>
      <c r="JY11" s="395">
        <f>55.87+0.96</f>
        <v>56.83</v>
      </c>
      <c r="JZ11" s="300" t="s">
        <v>2764</v>
      </c>
      <c r="KA11" s="340">
        <v>29.9</v>
      </c>
      <c r="KB11" s="285" t="s">
        <v>1625</v>
      </c>
      <c r="KC11" s="318">
        <v>-217</v>
      </c>
      <c r="KD11" s="340" t="s">
        <v>2806</v>
      </c>
      <c r="KE11" s="320">
        <f>1.5%*519+1.82</f>
        <v>9.6050000000000004</v>
      </c>
      <c r="KF11" s="299" t="s">
        <v>2858</v>
      </c>
      <c r="KG11" s="320">
        <v>281.16000000000003</v>
      </c>
      <c r="KH11" s="285" t="s">
        <v>2542</v>
      </c>
      <c r="KI11" s="318">
        <v>-82000</v>
      </c>
      <c r="KJ11" s="340" t="s">
        <v>2784</v>
      </c>
      <c r="KK11" s="331"/>
      <c r="KL11" s="254" t="s">
        <v>2924</v>
      </c>
      <c r="KM11" s="441">
        <f>165.2+34.2</f>
        <v>199.39999999999998</v>
      </c>
      <c r="KN11" s="340" t="s">
        <v>2956</v>
      </c>
      <c r="KO11" s="259">
        <v>-127017</v>
      </c>
      <c r="KP11" s="204" t="s">
        <v>3205</v>
      </c>
      <c r="KQ11" s="340">
        <v>200</v>
      </c>
      <c r="KR11" s="584" t="s">
        <v>3002</v>
      </c>
      <c r="KS11" s="441">
        <v>141.03</v>
      </c>
      <c r="KT11" s="340" t="s">
        <v>2860</v>
      </c>
      <c r="KU11" s="259">
        <v>-70600</v>
      </c>
      <c r="KV11" s="588" t="s">
        <v>3206</v>
      </c>
      <c r="KW11" s="395">
        <v>288</v>
      </c>
      <c r="KX11" s="300" t="s">
        <v>3077</v>
      </c>
      <c r="KY11" s="606">
        <v>39.9</v>
      </c>
      <c r="KZ11" s="319" t="s">
        <v>2541</v>
      </c>
      <c r="LA11" s="259">
        <v>-4000</v>
      </c>
      <c r="LB11" s="617" t="s">
        <v>3049</v>
      </c>
      <c r="LC11" s="395">
        <v>5.3</v>
      </c>
      <c r="LD11" s="443" t="s">
        <v>3107</v>
      </c>
      <c r="LE11" s="441">
        <v>11.39</v>
      </c>
      <c r="LF11" s="618" t="s">
        <v>2427</v>
      </c>
      <c r="LG11" s="259">
        <v>0</v>
      </c>
      <c r="LH11" s="682"/>
      <c r="LI11" s="629"/>
      <c r="LJ11" s="300" t="s">
        <v>3179</v>
      </c>
      <c r="LK11" s="629">
        <f>517.75+263.25</f>
        <v>781</v>
      </c>
      <c r="LL11" s="651" t="s">
        <v>2427</v>
      </c>
      <c r="LM11" s="259">
        <v>0</v>
      </c>
      <c r="LN11" s="734" t="s">
        <v>3228</v>
      </c>
      <c r="LO11" s="326">
        <v>-10184.01</v>
      </c>
      <c r="LP11" s="721" t="s">
        <v>3244</v>
      </c>
      <c r="LQ11" s="677">
        <v>2000</v>
      </c>
      <c r="LR11" s="681" t="s">
        <v>2541</v>
      </c>
      <c r="LS11" s="259">
        <v>-4000</v>
      </c>
      <c r="LT11" s="729" t="s">
        <v>3211</v>
      </c>
      <c r="LU11" s="395"/>
      <c r="LV11" s="217" t="s">
        <v>471</v>
      </c>
      <c r="LW11" s="202"/>
      <c r="LX11" s="733" t="s">
        <v>2541</v>
      </c>
      <c r="LY11" s="259">
        <v>-4000</v>
      </c>
    </row>
    <row r="12" spans="1:338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2">
        <v>-1030</v>
      </c>
      <c r="Q12" s="340" t="s">
        <v>1030</v>
      </c>
      <c r="R12" s="340">
        <f>SUM(R38:R39)</f>
        <v>800</v>
      </c>
      <c r="S12" s="218" t="s">
        <v>1093</v>
      </c>
      <c r="T12" s="462">
        <v>-960</v>
      </c>
      <c r="Y12" s="218" t="s">
        <v>1093</v>
      </c>
      <c r="Z12" s="462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2">
        <f t="shared" si="0"/>
        <v>1002</v>
      </c>
      <c r="BC12" s="340" t="s">
        <v>1186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1223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1228</v>
      </c>
      <c r="BR12" s="217">
        <v>1800.06</v>
      </c>
      <c r="BS12" s="285" t="s">
        <v>1091</v>
      </c>
      <c r="BT12" s="260">
        <v>1003</v>
      </c>
      <c r="BU12" s="261" t="s">
        <v>1260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2"/>
      <c r="CA12" s="261" t="s">
        <v>1247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2"/>
      <c r="CG12" s="204"/>
      <c r="CH12" s="204"/>
      <c r="CI12" s="254" t="s">
        <v>1002</v>
      </c>
      <c r="CJ12" s="217">
        <v>1800.09</v>
      </c>
      <c r="CK12" s="218" t="s">
        <v>1093</v>
      </c>
      <c r="CL12" s="462">
        <v>-1950</v>
      </c>
      <c r="CM12" s="204"/>
      <c r="CN12" s="204"/>
      <c r="CO12" s="254" t="s">
        <v>1313</v>
      </c>
      <c r="CP12" s="217">
        <v>1800.1</v>
      </c>
      <c r="CQ12" s="218" t="s">
        <v>1145</v>
      </c>
      <c r="CR12" s="462"/>
      <c r="CS12" s="261" t="s">
        <v>1363</v>
      </c>
      <c r="CT12" s="217">
        <v>11</v>
      </c>
      <c r="CU12" s="266" t="s">
        <v>1313</v>
      </c>
      <c r="CV12" s="217">
        <v>1800.11</v>
      </c>
      <c r="CW12" s="492" t="s">
        <v>1145</v>
      </c>
      <c r="CX12" s="493"/>
      <c r="CY12" s="261" t="s">
        <v>1363</v>
      </c>
      <c r="DA12" s="271" t="s">
        <v>1287</v>
      </c>
      <c r="DB12" s="204">
        <v>100</v>
      </c>
      <c r="DC12" s="489" t="s">
        <v>423</v>
      </c>
      <c r="DD12" s="490" t="s">
        <v>686</v>
      </c>
      <c r="DE12" s="261" t="s">
        <v>1247</v>
      </c>
      <c r="DF12" s="217">
        <v>56</v>
      </c>
      <c r="DG12" s="271" t="s">
        <v>1417</v>
      </c>
      <c r="DH12" s="261">
        <v>100</v>
      </c>
      <c r="DI12" s="218" t="s">
        <v>1145</v>
      </c>
      <c r="DJ12" s="462"/>
      <c r="DK12" s="261"/>
      <c r="DM12" s="271" t="s">
        <v>1479</v>
      </c>
      <c r="DN12" s="261">
        <f>132.63+132.43+132.15</f>
        <v>397.21000000000004</v>
      </c>
      <c r="DO12" s="218" t="s">
        <v>1199</v>
      </c>
      <c r="DP12" s="462">
        <v>2.54</v>
      </c>
      <c r="DQ12" s="261"/>
      <c r="DU12" s="478" t="s">
        <v>1055</v>
      </c>
      <c r="DV12" s="481">
        <v>150</v>
      </c>
      <c r="DY12" s="243" t="s">
        <v>1002</v>
      </c>
      <c r="DZ12" s="340">
        <v>1800.05</v>
      </c>
      <c r="EA12" s="219" t="s">
        <v>1616</v>
      </c>
      <c r="EB12" s="494"/>
      <c r="EC12" s="340" t="s">
        <v>1312</v>
      </c>
      <c r="ED12" s="340" t="s">
        <v>686</v>
      </c>
      <c r="EE12" s="271" t="s">
        <v>1533</v>
      </c>
      <c r="EF12" s="271">
        <f>132.66+132.47+132.27+132.26+132.31</f>
        <v>661.97</v>
      </c>
      <c r="EG12" s="271"/>
      <c r="EH12" s="285" t="s">
        <v>1496</v>
      </c>
      <c r="EI12" s="318">
        <v>5709.99</v>
      </c>
      <c r="EL12" s="271" t="s">
        <v>1533</v>
      </c>
      <c r="EM12" s="271" t="s">
        <v>686</v>
      </c>
      <c r="EN12" s="285" t="s">
        <v>1496</v>
      </c>
      <c r="EO12" s="318">
        <v>5762</v>
      </c>
      <c r="EP12" s="340" t="s">
        <v>1573</v>
      </c>
      <c r="ER12" s="305" t="s">
        <v>1682</v>
      </c>
      <c r="ES12" s="340">
        <v>430</v>
      </c>
      <c r="ET12" s="285" t="s">
        <v>1496</v>
      </c>
      <c r="EU12" s="318">
        <v>2917</v>
      </c>
      <c r="EV12" s="340" t="s">
        <v>1573</v>
      </c>
      <c r="EX12" s="305" t="s">
        <v>1885</v>
      </c>
      <c r="EY12" s="340">
        <v>100</v>
      </c>
      <c r="EZ12" s="285" t="s">
        <v>1496</v>
      </c>
      <c r="FA12" s="318">
        <f>13952+12128+5831</f>
        <v>31911</v>
      </c>
      <c r="FB12" s="340" t="s">
        <v>1573</v>
      </c>
      <c r="FD12" s="304" t="s">
        <v>1777</v>
      </c>
      <c r="FE12" s="340">
        <v>5.73</v>
      </c>
      <c r="FF12" s="285" t="s">
        <v>1496</v>
      </c>
      <c r="FG12" s="318">
        <f>18841+3130+8869</f>
        <v>30840</v>
      </c>
      <c r="FH12" s="340" t="s">
        <v>1573</v>
      </c>
      <c r="FJ12" s="310" t="s">
        <v>1373</v>
      </c>
      <c r="FK12" s="340">
        <v>288.75</v>
      </c>
      <c r="FL12" s="340" t="s">
        <v>1801</v>
      </c>
      <c r="FM12" s="259">
        <v>-60000</v>
      </c>
      <c r="FN12" s="340" t="s">
        <v>1603</v>
      </c>
      <c r="FP12" s="305" t="s">
        <v>1002</v>
      </c>
      <c r="FQ12" s="340">
        <v>1800.12</v>
      </c>
      <c r="FR12" s="340" t="s">
        <v>1841</v>
      </c>
      <c r="FS12" s="259"/>
      <c r="FT12" s="340" t="s">
        <v>1556</v>
      </c>
      <c r="FU12" s="340">
        <v>56</v>
      </c>
      <c r="FV12" s="305" t="s">
        <v>1002</v>
      </c>
      <c r="FW12" s="340">
        <v>1800.01</v>
      </c>
      <c r="FX12" s="319" t="s">
        <v>1501</v>
      </c>
      <c r="FY12" s="340">
        <v>1520</v>
      </c>
      <c r="FZ12" s="197" t="s">
        <v>1575</v>
      </c>
      <c r="GB12" s="304" t="s">
        <v>1387</v>
      </c>
      <c r="GC12" s="340">
        <f>SUM(GC16:GC17)</f>
        <v>512.80999999999995</v>
      </c>
      <c r="GD12" s="319" t="s">
        <v>1501</v>
      </c>
      <c r="GE12" s="340">
        <v>2876</v>
      </c>
      <c r="GH12" s="304" t="s">
        <v>1387</v>
      </c>
      <c r="GI12" s="340">
        <f>SUM(GI16:GI16)</f>
        <v>2454.0500000000002</v>
      </c>
      <c r="GJ12" s="319" t="s">
        <v>1500</v>
      </c>
      <c r="GK12" s="340">
        <v>574</v>
      </c>
      <c r="GL12" s="340" t="s">
        <v>1556</v>
      </c>
      <c r="GM12" s="340">
        <f>6.11+47.56</f>
        <v>53.67</v>
      </c>
      <c r="GN12" s="304" t="s">
        <v>1387</v>
      </c>
      <c r="GO12" s="340">
        <f>SUM(GO15:GO16)</f>
        <v>464.65999999999997</v>
      </c>
      <c r="GP12" s="319" t="s">
        <v>1500</v>
      </c>
      <c r="GQ12" s="340">
        <v>833</v>
      </c>
      <c r="GT12" s="304" t="s">
        <v>1387</v>
      </c>
      <c r="GU12" s="340" t="s">
        <v>686</v>
      </c>
      <c r="GV12" s="319" t="s">
        <v>1500</v>
      </c>
      <c r="GW12" s="340">
        <v>631</v>
      </c>
      <c r="GX12" s="340" t="s">
        <v>1603</v>
      </c>
      <c r="GZ12" s="305" t="s">
        <v>1002</v>
      </c>
      <c r="HA12" s="340">
        <v>1800.06</v>
      </c>
      <c r="HB12" s="204" t="s">
        <v>1832</v>
      </c>
      <c r="HC12" s="340">
        <v>2499</v>
      </c>
      <c r="HF12" s="304" t="s">
        <v>1387</v>
      </c>
      <c r="HG12" s="340">
        <f>SUM(HG17:HG17)</f>
        <v>48.24</v>
      </c>
      <c r="HH12" s="319" t="s">
        <v>1500</v>
      </c>
      <c r="HI12" s="340">
        <v>1440</v>
      </c>
      <c r="HJ12" s="340" t="s">
        <v>2149</v>
      </c>
      <c r="HK12" s="240">
        <v>90</v>
      </c>
      <c r="HL12" s="299" t="s">
        <v>2135</v>
      </c>
      <c r="HM12" s="340">
        <v>197.9</v>
      </c>
      <c r="HN12" s="204" t="s">
        <v>1832</v>
      </c>
      <c r="HO12" s="340">
        <v>2499</v>
      </c>
      <c r="HQ12" s="240"/>
      <c r="HR12" s="299" t="s">
        <v>2033</v>
      </c>
      <c r="HS12" s="441">
        <f>2525.92/6</f>
        <v>420.98666666666668</v>
      </c>
      <c r="HT12" s="204" t="s">
        <v>2173</v>
      </c>
      <c r="HU12" s="464">
        <v>-808</v>
      </c>
      <c r="HV12" s="325" t="s">
        <v>2196</v>
      </c>
      <c r="HW12" s="240">
        <v>63.05</v>
      </c>
      <c r="HX12" s="243" t="s">
        <v>2209</v>
      </c>
      <c r="HY12" s="240">
        <f>130000+11893+38316.67+1</f>
        <v>180210.66999999998</v>
      </c>
      <c r="HZ12" s="204" t="s">
        <v>1832</v>
      </c>
      <c r="IA12" s="340">
        <v>499</v>
      </c>
      <c r="IB12" s="340" t="s">
        <v>2276</v>
      </c>
      <c r="IC12" s="320">
        <v>3.0009999999999999</v>
      </c>
      <c r="ID12" s="329" t="s">
        <v>2130</v>
      </c>
      <c r="IE12" s="318">
        <v>4000</v>
      </c>
      <c r="IF12" s="319" t="s">
        <v>1872</v>
      </c>
      <c r="IG12" s="259">
        <v>0</v>
      </c>
      <c r="IH12" s="340" t="s">
        <v>2332</v>
      </c>
      <c r="II12" s="340">
        <f>366.74-127-111</f>
        <v>128.74</v>
      </c>
      <c r="IJ12" s="300" t="s">
        <v>1027</v>
      </c>
      <c r="IK12" s="340">
        <v>1867.15</v>
      </c>
      <c r="IL12" s="319" t="s">
        <v>1500</v>
      </c>
      <c r="IM12" s="259">
        <v>613</v>
      </c>
      <c r="IP12" s="243" t="s">
        <v>2307</v>
      </c>
      <c r="IQ12" s="441">
        <f>IQ13*2</f>
        <v>1833.7466666666667</v>
      </c>
      <c r="IR12" s="319" t="s">
        <v>2421</v>
      </c>
      <c r="IS12" s="259">
        <v>803</v>
      </c>
      <c r="IT12" s="340" t="s">
        <v>2501</v>
      </c>
      <c r="IU12" s="340">
        <v>25.58</v>
      </c>
      <c r="IV12" s="313" t="s">
        <v>2464</v>
      </c>
      <c r="IW12" s="488">
        <v>378.81</v>
      </c>
      <c r="IX12" s="285" t="s">
        <v>1625</v>
      </c>
      <c r="IY12" s="340">
        <v>-997</v>
      </c>
      <c r="IZ12" s="340" t="s">
        <v>2888</v>
      </c>
      <c r="JA12" s="340">
        <v>30</v>
      </c>
      <c r="JB12" s="300" t="s">
        <v>2503</v>
      </c>
      <c r="JC12" s="335">
        <v>52.89</v>
      </c>
      <c r="JD12" s="285" t="s">
        <v>1625</v>
      </c>
      <c r="JE12" s="341">
        <v>-260</v>
      </c>
      <c r="JF12" s="340" t="s">
        <v>2122</v>
      </c>
      <c r="JG12" s="331">
        <f>72.14+1.23</f>
        <v>73.37</v>
      </c>
      <c r="JH12" s="243" t="s">
        <v>2597</v>
      </c>
      <c r="JI12" s="495">
        <f>2.88%/365*(20*140000+21*140220)</f>
        <v>453.27412602739724</v>
      </c>
      <c r="JJ12" s="285" t="s">
        <v>1625</v>
      </c>
      <c r="JK12" s="286">
        <v>-540</v>
      </c>
      <c r="JL12" s="340" t="s">
        <v>1793</v>
      </c>
      <c r="JM12" s="202">
        <v>13.11</v>
      </c>
      <c r="JN12" s="243" t="s">
        <v>2648</v>
      </c>
      <c r="JO12" s="320">
        <v>110000</v>
      </c>
      <c r="JP12" s="204" t="s">
        <v>2634</v>
      </c>
      <c r="JQ12" s="259">
        <v>2600</v>
      </c>
      <c r="JR12" s="482" t="s">
        <v>2712</v>
      </c>
      <c r="JT12" s="243" t="s">
        <v>2687</v>
      </c>
      <c r="JU12" s="320">
        <v>1478.09</v>
      </c>
      <c r="JV12" s="319" t="s">
        <v>2635</v>
      </c>
      <c r="JW12" s="259">
        <v>800</v>
      </c>
      <c r="JX12" s="340" t="s">
        <v>1793</v>
      </c>
      <c r="JY12" s="395" t="s">
        <v>686</v>
      </c>
      <c r="JZ12" s="300" t="s">
        <v>1808</v>
      </c>
      <c r="KA12" s="202">
        <v>67.23</v>
      </c>
      <c r="KB12" s="204" t="s">
        <v>2634</v>
      </c>
      <c r="KC12" s="259">
        <v>2600</v>
      </c>
      <c r="KD12" s="340" t="s">
        <v>2848</v>
      </c>
      <c r="KE12" s="395">
        <v>46</v>
      </c>
      <c r="KF12" s="299" t="s">
        <v>2920</v>
      </c>
      <c r="KG12" s="320">
        <v>193.39</v>
      </c>
      <c r="KH12" s="319" t="s">
        <v>2541</v>
      </c>
      <c r="KI12" s="259">
        <v>-4000</v>
      </c>
      <c r="KJ12" s="340" t="s">
        <v>2806</v>
      </c>
      <c r="KK12" s="320" t="s">
        <v>657</v>
      </c>
      <c r="KL12" s="254" t="s">
        <v>1552</v>
      </c>
      <c r="KM12" s="340">
        <f>47.8-21.9</f>
        <v>25.9</v>
      </c>
      <c r="KN12" s="259">
        <f>SUM(KI8:KI9)+180+3750</f>
        <v>-127017</v>
      </c>
      <c r="KO12" s="259" t="s">
        <v>2933</v>
      </c>
      <c r="KP12" s="217"/>
      <c r="KQ12" s="395"/>
      <c r="KR12" s="300" t="s">
        <v>3025</v>
      </c>
      <c r="KS12" s="204">
        <v>15.2</v>
      </c>
      <c r="KT12" s="340" t="s">
        <v>2963</v>
      </c>
      <c r="KU12" s="259">
        <v>-123206</v>
      </c>
      <c r="KV12" s="204" t="s">
        <v>3203</v>
      </c>
      <c r="KW12" s="395">
        <f>32.02+3.51</f>
        <v>35.53</v>
      </c>
      <c r="KX12" s="300" t="s">
        <v>3071</v>
      </c>
      <c r="KY12" s="606">
        <v>113.21</v>
      </c>
      <c r="KZ12" s="319" t="s">
        <v>2965</v>
      </c>
      <c r="LA12" s="259">
        <v>1548</v>
      </c>
      <c r="LB12" s="641" t="s">
        <v>3140</v>
      </c>
      <c r="LC12" s="395">
        <v>10</v>
      </c>
      <c r="LD12" s="443" t="s">
        <v>2354</v>
      </c>
      <c r="LE12" s="240">
        <v>3200</v>
      </c>
      <c r="LF12" s="618" t="s">
        <v>3042</v>
      </c>
      <c r="LG12" s="259">
        <v>209004</v>
      </c>
      <c r="LH12" s="647" t="s">
        <v>3039</v>
      </c>
      <c r="LI12" s="320"/>
      <c r="LJ12" s="300" t="s">
        <v>3173</v>
      </c>
      <c r="LK12" s="629">
        <v>9.5</v>
      </c>
      <c r="LL12" s="651" t="s">
        <v>3042</v>
      </c>
      <c r="LM12" s="259">
        <v>132010</v>
      </c>
      <c r="LN12" s="734" t="s">
        <v>3226</v>
      </c>
      <c r="LO12" s="286">
        <v>-37.99</v>
      </c>
      <c r="LP12" s="217" t="s">
        <v>3235</v>
      </c>
      <c r="LQ12" s="202">
        <v>136.5</v>
      </c>
      <c r="LR12" s="680" t="s">
        <v>2952</v>
      </c>
      <c r="LS12" s="318">
        <v>-87000</v>
      </c>
      <c r="LT12" s="728" t="s">
        <v>3254</v>
      </c>
      <c r="LU12" s="395"/>
      <c r="LV12" s="217" t="s">
        <v>471</v>
      </c>
      <c r="LW12" s="261"/>
      <c r="LX12" s="732" t="s">
        <v>2952</v>
      </c>
      <c r="LY12" s="318">
        <v>-87000</v>
      </c>
      <c r="LZ12" s="460">
        <v>45350</v>
      </c>
    </row>
    <row r="13" spans="1:338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1051</v>
      </c>
      <c r="S13" s="218" t="s">
        <v>129</v>
      </c>
      <c r="T13" s="462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2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2"/>
      <c r="AI13" s="166" t="s">
        <v>1088</v>
      </c>
      <c r="AJ13" s="340">
        <v>0</v>
      </c>
      <c r="AK13" s="218" t="s">
        <v>239</v>
      </c>
      <c r="AL13" s="462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2"/>
      <c r="AU13" s="192" t="s">
        <v>311</v>
      </c>
      <c r="AW13" s="218" t="s">
        <v>1145</v>
      </c>
      <c r="AX13" s="462"/>
      <c r="AY13" s="192"/>
      <c r="BA13" s="218" t="s">
        <v>1145</v>
      </c>
      <c r="BB13" s="462">
        <f t="shared" si="0"/>
        <v>0</v>
      </c>
      <c r="BE13" s="192" t="s">
        <v>311</v>
      </c>
      <c r="BG13" s="218" t="s">
        <v>1145</v>
      </c>
      <c r="BH13" s="364"/>
      <c r="BK13" s="254" t="s">
        <v>1215</v>
      </c>
      <c r="BL13" s="204">
        <v>100</v>
      </c>
      <c r="BM13" s="218" t="s">
        <v>1145</v>
      </c>
      <c r="BN13" s="364"/>
      <c r="BQ13" s="254" t="s">
        <v>1233</v>
      </c>
      <c r="BR13" s="204">
        <v>100</v>
      </c>
      <c r="BS13" s="218" t="s">
        <v>1145</v>
      </c>
      <c r="BT13" s="377"/>
      <c r="BW13" s="254" t="s">
        <v>1253</v>
      </c>
      <c r="BX13" s="204">
        <v>100</v>
      </c>
      <c r="BY13" s="218" t="s">
        <v>1093</v>
      </c>
      <c r="BZ13" s="462">
        <v>-1140</v>
      </c>
      <c r="CA13" s="261" t="s">
        <v>1288</v>
      </c>
      <c r="CB13" s="217">
        <v>8.2200000000000006</v>
      </c>
      <c r="CC13" s="254" t="s">
        <v>1287</v>
      </c>
      <c r="CD13" s="204">
        <v>100</v>
      </c>
      <c r="CE13" s="218" t="s">
        <v>1093</v>
      </c>
      <c r="CF13" s="462">
        <v>-1779</v>
      </c>
      <c r="CG13" s="204" t="s">
        <v>578</v>
      </c>
      <c r="CI13" s="254" t="s">
        <v>1287</v>
      </c>
      <c r="CJ13" s="204">
        <v>100</v>
      </c>
      <c r="CK13" s="218" t="s">
        <v>129</v>
      </c>
      <c r="CL13" s="462" t="s">
        <v>1293</v>
      </c>
      <c r="CM13" s="204" t="s">
        <v>578</v>
      </c>
      <c r="CO13" s="254" t="s">
        <v>1287</v>
      </c>
      <c r="CP13" s="204">
        <v>100</v>
      </c>
      <c r="CQ13" s="218" t="s">
        <v>1093</v>
      </c>
      <c r="CR13" s="462">
        <v>-826</v>
      </c>
      <c r="CS13" s="204"/>
      <c r="CT13" s="204"/>
      <c r="CU13" s="266" t="s">
        <v>1320</v>
      </c>
      <c r="CV13" s="217">
        <f>12.91+6+14.99</f>
        <v>33.9</v>
      </c>
      <c r="CW13" s="218" t="s">
        <v>1093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1145</v>
      </c>
      <c r="DD13" s="493"/>
      <c r="DE13" s="261" t="s">
        <v>1797</v>
      </c>
      <c r="DF13" s="217">
        <v>1.07</v>
      </c>
      <c r="DG13" s="271" t="s">
        <v>1477</v>
      </c>
      <c r="DH13" s="261">
        <v>2193</v>
      </c>
      <c r="DI13" s="218" t="s">
        <v>1093</v>
      </c>
      <c r="DJ13" s="462">
        <v>-2174</v>
      </c>
      <c r="DK13" s="204" t="s">
        <v>578</v>
      </c>
      <c r="DM13" s="271" t="s">
        <v>1511</v>
      </c>
      <c r="DN13" s="261">
        <v>100</v>
      </c>
      <c r="DO13" s="478" t="s">
        <v>1055</v>
      </c>
      <c r="DP13" s="481">
        <v>130.001</v>
      </c>
      <c r="DQ13" s="204" t="s">
        <v>1573</v>
      </c>
      <c r="DS13" s="271" t="s">
        <v>1535</v>
      </c>
      <c r="DT13" s="274">
        <f>15000.01+20000.01</f>
        <v>35000.019999999997</v>
      </c>
      <c r="DU13" s="496" t="s">
        <v>1553</v>
      </c>
      <c r="DV13" s="497"/>
      <c r="DW13" s="340" t="s">
        <v>1484</v>
      </c>
      <c r="DX13" s="340" t="s">
        <v>686</v>
      </c>
      <c r="DY13" s="296" t="s">
        <v>1596</v>
      </c>
      <c r="DZ13" s="340" t="s">
        <v>686</v>
      </c>
      <c r="EA13" s="218" t="s">
        <v>1496</v>
      </c>
      <c r="EB13" s="377">
        <f>9880+1491</f>
        <v>11371</v>
      </c>
      <c r="EE13" s="296" t="s">
        <v>1596</v>
      </c>
      <c r="EF13" s="340" t="s">
        <v>686</v>
      </c>
      <c r="EH13" s="285" t="s">
        <v>1563</v>
      </c>
      <c r="EI13" s="318">
        <v>10000</v>
      </c>
      <c r="EJ13" s="340" t="s">
        <v>1603</v>
      </c>
      <c r="EL13" s="243" t="s">
        <v>1320</v>
      </c>
      <c r="EM13" s="340" t="s">
        <v>686</v>
      </c>
      <c r="EN13" s="285" t="s">
        <v>1464</v>
      </c>
      <c r="EO13" s="318">
        <f>5000+3000</f>
        <v>8000</v>
      </c>
      <c r="EP13" s="340" t="s">
        <v>1190</v>
      </c>
      <c r="EQ13" s="340">
        <v>130</v>
      </c>
      <c r="ER13" s="304" t="s">
        <v>1160</v>
      </c>
      <c r="ET13" s="285" t="s">
        <v>1695</v>
      </c>
      <c r="EU13" s="318">
        <v>11000</v>
      </c>
      <c r="EV13" s="340" t="s">
        <v>1274</v>
      </c>
      <c r="EW13" s="340">
        <f>19.9+11.7</f>
        <v>31.599999999999998</v>
      </c>
      <c r="EX13" s="304" t="s">
        <v>1160</v>
      </c>
      <c r="EZ13" s="285" t="s">
        <v>1695</v>
      </c>
      <c r="FA13" s="318">
        <v>6000</v>
      </c>
      <c r="FB13" s="340" t="s">
        <v>1274</v>
      </c>
      <c r="FC13" s="340">
        <v>9.9</v>
      </c>
      <c r="FD13" s="300" t="s">
        <v>1779</v>
      </c>
      <c r="FE13" s="340">
        <v>10</v>
      </c>
      <c r="FF13" s="285" t="s">
        <v>1695</v>
      </c>
      <c r="FG13" s="318">
        <v>3000</v>
      </c>
      <c r="FJ13" s="300" t="s">
        <v>1786</v>
      </c>
      <c r="FK13" s="340" t="s">
        <v>686</v>
      </c>
      <c r="FL13" s="483" t="s">
        <v>1804</v>
      </c>
      <c r="FM13" s="483"/>
      <c r="FN13" s="340" t="s">
        <v>1793</v>
      </c>
      <c r="FO13" s="340" t="s">
        <v>686</v>
      </c>
      <c r="FP13" s="243" t="s">
        <v>1843</v>
      </c>
      <c r="FQ13" s="340">
        <v>1000</v>
      </c>
      <c r="FR13" s="340" t="s">
        <v>1816</v>
      </c>
      <c r="FS13" s="259">
        <f>-60000-24000</f>
        <v>-84000</v>
      </c>
      <c r="FT13" s="340" t="s">
        <v>1603</v>
      </c>
      <c r="FV13" s="243" t="s">
        <v>1843</v>
      </c>
      <c r="FW13" s="340">
        <v>4000</v>
      </c>
      <c r="FX13" s="319" t="s">
        <v>1872</v>
      </c>
      <c r="FY13" s="340">
        <v>473</v>
      </c>
      <c r="FZ13" s="340" t="s">
        <v>1556</v>
      </c>
      <c r="GA13" s="340">
        <v>52</v>
      </c>
      <c r="GB13" s="305" t="s">
        <v>1002</v>
      </c>
      <c r="GC13" s="340">
        <v>1800.02</v>
      </c>
      <c r="GD13" s="319" t="s">
        <v>1872</v>
      </c>
      <c r="GE13" s="340">
        <v>724</v>
      </c>
      <c r="GF13" s="197" t="s">
        <v>1575</v>
      </c>
      <c r="GH13" s="305" t="s">
        <v>1002</v>
      </c>
      <c r="GI13" s="340">
        <v>1800.03</v>
      </c>
      <c r="GJ13" s="319" t="s">
        <v>1501</v>
      </c>
      <c r="GK13" s="340">
        <v>3378</v>
      </c>
      <c r="GN13" s="305" t="s">
        <v>1993</v>
      </c>
      <c r="GO13" s="340">
        <v>1004</v>
      </c>
      <c r="GP13" s="319" t="s">
        <v>1501</v>
      </c>
      <c r="GQ13" s="340">
        <v>2198</v>
      </c>
      <c r="GR13" s="197" t="s">
        <v>1575</v>
      </c>
      <c r="GT13" s="305" t="s">
        <v>1002</v>
      </c>
      <c r="GU13" s="340">
        <f>1800.04+1800.05</f>
        <v>3600.09</v>
      </c>
      <c r="GV13" s="319" t="s">
        <v>1501</v>
      </c>
      <c r="GW13" s="340">
        <v>4266</v>
      </c>
      <c r="GX13" s="325" t="s">
        <v>423</v>
      </c>
      <c r="GY13" s="340">
        <v>137</v>
      </c>
      <c r="GZ13" s="243" t="s">
        <v>2034</v>
      </c>
      <c r="HA13" s="498">
        <f>HA18*5</f>
        <v>2104.9333333333334</v>
      </c>
      <c r="HB13" s="319" t="s">
        <v>1500</v>
      </c>
      <c r="HC13" s="340">
        <v>700</v>
      </c>
      <c r="HD13" s="340" t="s">
        <v>1603</v>
      </c>
      <c r="HF13" s="305" t="s">
        <v>1002</v>
      </c>
      <c r="HG13" s="340">
        <v>1900.07</v>
      </c>
      <c r="HH13" s="319" t="s">
        <v>1501</v>
      </c>
      <c r="HI13" s="340">
        <v>3957</v>
      </c>
      <c r="HL13" s="299" t="s">
        <v>1810</v>
      </c>
      <c r="HM13" s="340">
        <v>140.44999999999999</v>
      </c>
      <c r="HN13" s="319" t="s">
        <v>1500</v>
      </c>
      <c r="HO13" s="340">
        <v>561</v>
      </c>
      <c r="HR13" s="299" t="s">
        <v>1913</v>
      </c>
      <c r="HS13" s="204">
        <v>71.900000000000006</v>
      </c>
      <c r="HT13" s="204" t="s">
        <v>1832</v>
      </c>
      <c r="HU13" s="340">
        <v>499</v>
      </c>
      <c r="HV13" s="340" t="s">
        <v>2267</v>
      </c>
      <c r="HW13" s="240">
        <v>14.49</v>
      </c>
      <c r="HX13" s="243" t="s">
        <v>2204</v>
      </c>
      <c r="HY13" s="340">
        <v>10.96</v>
      </c>
      <c r="HZ13" s="319" t="s">
        <v>1500</v>
      </c>
      <c r="IA13" s="340">
        <v>1075</v>
      </c>
      <c r="IB13" s="340" t="s">
        <v>2252</v>
      </c>
      <c r="IC13" s="320">
        <v>203.43</v>
      </c>
      <c r="ID13" s="329" t="s">
        <v>1978</v>
      </c>
      <c r="IE13" s="318">
        <v>25000</v>
      </c>
      <c r="IF13" s="319" t="s">
        <v>1868</v>
      </c>
      <c r="IG13" s="259">
        <v>361</v>
      </c>
      <c r="IH13" s="340" t="s">
        <v>2312</v>
      </c>
      <c r="II13" s="331">
        <f>160+85</f>
        <v>245</v>
      </c>
      <c r="IJ13" s="300" t="s">
        <v>2376</v>
      </c>
      <c r="IK13" s="340">
        <f>139.5+131.4</f>
        <v>270.89999999999998</v>
      </c>
      <c r="IL13" s="319" t="s">
        <v>2344</v>
      </c>
      <c r="IM13" s="259">
        <v>869</v>
      </c>
      <c r="IN13" s="340" t="s">
        <v>2348</v>
      </c>
      <c r="IO13" s="331"/>
      <c r="IP13" s="299" t="s">
        <v>2444</v>
      </c>
      <c r="IQ13" s="441">
        <f>2750.62/3</f>
        <v>916.87333333333333</v>
      </c>
      <c r="IR13" s="483" t="s">
        <v>2448</v>
      </c>
      <c r="IS13" s="259">
        <v>142</v>
      </c>
      <c r="IV13" s="300" t="s">
        <v>2480</v>
      </c>
      <c r="IW13" s="335">
        <v>170</v>
      </c>
      <c r="IX13" s="204" t="s">
        <v>1832</v>
      </c>
      <c r="IY13" s="321">
        <v>2600</v>
      </c>
      <c r="JB13" s="384" t="s">
        <v>2559</v>
      </c>
      <c r="JC13" s="335">
        <f>80-40</f>
        <v>40</v>
      </c>
      <c r="JD13" s="204" t="s">
        <v>1832</v>
      </c>
      <c r="JE13" s="334">
        <v>2600</v>
      </c>
      <c r="JF13" s="340" t="s">
        <v>2726</v>
      </c>
      <c r="JG13" s="320">
        <v>22.41</v>
      </c>
      <c r="JH13" s="243" t="s">
        <v>2612</v>
      </c>
      <c r="JI13" s="495"/>
      <c r="JJ13" s="204" t="s">
        <v>1832</v>
      </c>
      <c r="JK13" s="259">
        <v>2600</v>
      </c>
      <c r="JL13" s="217" t="s">
        <v>2727</v>
      </c>
      <c r="JM13" s="395">
        <v>5.9</v>
      </c>
      <c r="JN13" s="243" t="s">
        <v>2859</v>
      </c>
      <c r="JO13" s="240">
        <f>JO14*4</f>
        <v>5080.7519999999995</v>
      </c>
      <c r="JP13" s="319" t="s">
        <v>2635</v>
      </c>
      <c r="JQ13" s="259">
        <v>682</v>
      </c>
      <c r="JR13" s="340" t="s">
        <v>2348</v>
      </c>
      <c r="JS13" s="331"/>
      <c r="JT13" s="243" t="s">
        <v>2499</v>
      </c>
      <c r="JU13" s="240">
        <f>JU14*4</f>
        <v>2540.3759999999997</v>
      </c>
      <c r="JV13" s="319" t="s">
        <v>2636</v>
      </c>
      <c r="JW13" s="259">
        <v>597</v>
      </c>
      <c r="JX13" s="217" t="s">
        <v>2751</v>
      </c>
      <c r="JY13" s="395">
        <v>7.95</v>
      </c>
      <c r="JZ13" s="300" t="s">
        <v>2741</v>
      </c>
      <c r="KA13" s="202">
        <v>2062.8000000000002</v>
      </c>
      <c r="KB13" s="319" t="s">
        <v>2635</v>
      </c>
      <c r="KC13" s="259">
        <v>765</v>
      </c>
      <c r="KD13" s="340" t="s">
        <v>1793</v>
      </c>
      <c r="KE13" s="395">
        <v>13.54</v>
      </c>
      <c r="KF13" s="299" t="s">
        <v>2454</v>
      </c>
      <c r="KG13" s="202">
        <v>74.64</v>
      </c>
      <c r="KH13" s="204" t="s">
        <v>2807</v>
      </c>
      <c r="KI13" s="318">
        <v>366011</v>
      </c>
      <c r="KJ13" s="340" t="s">
        <v>2796</v>
      </c>
      <c r="KK13" s="395">
        <f>73.33+0.96</f>
        <v>74.289999999999992</v>
      </c>
      <c r="KL13" s="254" t="s">
        <v>2411</v>
      </c>
      <c r="KM13" s="340">
        <v>40.590000000000003</v>
      </c>
      <c r="KN13" s="285" t="s">
        <v>2952</v>
      </c>
      <c r="KO13" s="318">
        <v>-82000</v>
      </c>
      <c r="KP13" s="340" t="s">
        <v>2783</v>
      </c>
      <c r="KQ13" s="395"/>
      <c r="KR13" s="300" t="s">
        <v>3016</v>
      </c>
      <c r="KS13" s="340">
        <v>43.2</v>
      </c>
      <c r="KT13" s="285" t="s">
        <v>2952</v>
      </c>
      <c r="KU13" s="318">
        <v>-82000</v>
      </c>
      <c r="KV13" s="591" t="s">
        <v>3049</v>
      </c>
      <c r="KW13" s="395">
        <v>15</v>
      </c>
      <c r="KX13" s="300" t="s">
        <v>3078</v>
      </c>
      <c r="KY13" s="593">
        <v>91.22</v>
      </c>
      <c r="KZ13" s="592" t="s">
        <v>2427</v>
      </c>
      <c r="LA13" s="259">
        <v>1</v>
      </c>
      <c r="LB13" s="612" t="s">
        <v>2797</v>
      </c>
      <c r="LC13" s="612"/>
      <c r="LD13" s="300" t="s">
        <v>3108</v>
      </c>
      <c r="LE13" s="629">
        <v>734.4</v>
      </c>
      <c r="LF13" s="618" t="s">
        <v>2867</v>
      </c>
      <c r="LG13" s="259">
        <v>101429</v>
      </c>
      <c r="LH13" s="647" t="s">
        <v>3207</v>
      </c>
      <c r="LI13" s="395">
        <v>52.000999999999998</v>
      </c>
      <c r="LJ13" s="300" t="s">
        <v>3183</v>
      </c>
      <c r="LK13" s="629">
        <v>79</v>
      </c>
      <c r="LL13" s="651" t="s">
        <v>2867</v>
      </c>
      <c r="LM13" s="259">
        <v>101434</v>
      </c>
      <c r="LN13" s="734" t="s">
        <v>3227</v>
      </c>
      <c r="LO13" s="286">
        <v>-21.1</v>
      </c>
      <c r="LP13" s="217" t="s">
        <v>3257</v>
      </c>
      <c r="LQ13" s="261">
        <v>3082.59</v>
      </c>
      <c r="LR13" s="681" t="s">
        <v>2427</v>
      </c>
      <c r="LS13" s="259">
        <v>0</v>
      </c>
      <c r="LT13" s="732" t="s">
        <v>2877</v>
      </c>
      <c r="LU13" s="395"/>
      <c r="LV13" s="300" t="s">
        <v>2463</v>
      </c>
      <c r="LW13" s="261"/>
      <c r="LX13" s="733" t="s">
        <v>2427</v>
      </c>
      <c r="LY13" s="259">
        <v>0</v>
      </c>
      <c r="LZ13" s="460">
        <v>45350</v>
      </c>
    </row>
    <row r="14" spans="1:338">
      <c r="A14" s="218" t="s">
        <v>1093</v>
      </c>
      <c r="B14" s="462">
        <v>-1047</v>
      </c>
      <c r="E14" s="170" t="s">
        <v>1002</v>
      </c>
      <c r="F14" s="170">
        <f>2500*5</f>
        <v>12500</v>
      </c>
      <c r="G14" s="218" t="s">
        <v>1093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2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2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2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2">
        <v>-292</v>
      </c>
      <c r="AU14" s="192" t="s">
        <v>1154</v>
      </c>
      <c r="AV14" s="340">
        <v>200</v>
      </c>
      <c r="AW14" s="218" t="s">
        <v>1093</v>
      </c>
      <c r="AX14" s="462">
        <v>-1148</v>
      </c>
      <c r="AY14" s="192"/>
      <c r="BA14" s="218" t="s">
        <v>1093</v>
      </c>
      <c r="BB14" s="462">
        <f t="shared" si="0"/>
        <v>-1148</v>
      </c>
      <c r="BE14" s="192" t="s">
        <v>1189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7">
        <v>-1444</v>
      </c>
      <c r="BW14" s="254" t="s">
        <v>311</v>
      </c>
      <c r="BX14" s="204" t="s">
        <v>686</v>
      </c>
      <c r="BY14" s="218" t="s">
        <v>1057</v>
      </c>
      <c r="BZ14" s="462">
        <v>73</v>
      </c>
      <c r="CA14" s="204" t="s">
        <v>1261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1289</v>
      </c>
      <c r="CH14" s="204">
        <v>20.100000000000001</v>
      </c>
      <c r="CI14" s="254" t="s">
        <v>1297</v>
      </c>
      <c r="CJ14" s="204">
        <v>1000</v>
      </c>
      <c r="CK14" s="218" t="s">
        <v>1199</v>
      </c>
      <c r="CL14" s="462">
        <v>15.87</v>
      </c>
      <c r="CM14" s="261" t="s">
        <v>1323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1287</v>
      </c>
      <c r="CV14" s="204">
        <v>100</v>
      </c>
      <c r="CW14" s="218" t="s">
        <v>129</v>
      </c>
      <c r="CX14" s="462" t="s">
        <v>686</v>
      </c>
      <c r="CY14" s="261" t="s">
        <v>1339</v>
      </c>
      <c r="CZ14" s="204"/>
      <c r="DA14" s="271" t="s">
        <v>1313</v>
      </c>
      <c r="DB14" s="217">
        <v>1800.12</v>
      </c>
      <c r="DC14" s="218" t="s">
        <v>1093</v>
      </c>
      <c r="DD14" s="462">
        <v>-2258</v>
      </c>
      <c r="DE14" s="261" t="s">
        <v>1798</v>
      </c>
      <c r="DF14" s="204">
        <v>11.94</v>
      </c>
      <c r="DG14" s="271" t="s">
        <v>1455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1519</v>
      </c>
      <c r="DN14" s="261">
        <v>2700</v>
      </c>
      <c r="DO14" s="781" t="s">
        <v>1499</v>
      </c>
      <c r="DP14" s="782"/>
      <c r="DQ14" s="261" t="s">
        <v>1572</v>
      </c>
      <c r="DR14" s="204">
        <v>128.4</v>
      </c>
      <c r="DS14" s="271" t="s">
        <v>1533</v>
      </c>
      <c r="DT14" s="261" t="s">
        <v>686</v>
      </c>
      <c r="DU14" s="218" t="s">
        <v>1496</v>
      </c>
      <c r="DV14" s="377">
        <f>10013+1491</f>
        <v>11504</v>
      </c>
      <c r="DY14" s="241"/>
      <c r="DZ14" s="308"/>
      <c r="EA14" s="218" t="s">
        <v>1563</v>
      </c>
      <c r="EB14" s="472">
        <v>10000</v>
      </c>
      <c r="EC14" s="340" t="s">
        <v>1573</v>
      </c>
      <c r="EE14" s="241" t="s">
        <v>1027</v>
      </c>
      <c r="EF14" s="308" t="s">
        <v>686</v>
      </c>
      <c r="EH14" s="285" t="s">
        <v>1564</v>
      </c>
      <c r="EI14" s="318">
        <v>10000</v>
      </c>
      <c r="EL14" s="304" t="s">
        <v>1373</v>
      </c>
      <c r="EM14" s="340">
        <v>1476</v>
      </c>
      <c r="EN14" s="285" t="s">
        <v>1452</v>
      </c>
      <c r="EO14" s="318">
        <f>5000+5000</f>
        <v>10000</v>
      </c>
      <c r="ER14" s="300" t="s">
        <v>1686</v>
      </c>
      <c r="ES14" s="340">
        <v>10</v>
      </c>
      <c r="ET14" s="204" t="s">
        <v>1704</v>
      </c>
      <c r="EU14" s="260">
        <v>1000</v>
      </c>
      <c r="EV14" s="340" t="s">
        <v>1729</v>
      </c>
      <c r="EW14" s="340">
        <v>104</v>
      </c>
      <c r="EX14" s="300" t="s">
        <v>1725</v>
      </c>
      <c r="EY14" s="308">
        <v>481.5</v>
      </c>
      <c r="EZ14" s="204" t="s">
        <v>1704</v>
      </c>
      <c r="FA14" s="260">
        <v>1000</v>
      </c>
      <c r="FB14" s="340" t="s">
        <v>1747</v>
      </c>
      <c r="FC14" s="340">
        <v>31.1</v>
      </c>
      <c r="FD14" s="300" t="s">
        <v>1780</v>
      </c>
      <c r="FE14" s="340">
        <v>11.25</v>
      </c>
      <c r="FF14" s="204" t="s">
        <v>1704</v>
      </c>
      <c r="FG14" s="260">
        <v>1000</v>
      </c>
      <c r="FH14" s="197" t="s">
        <v>1574</v>
      </c>
      <c r="FJ14" s="300" t="s">
        <v>1808</v>
      </c>
      <c r="FK14" s="308">
        <v>35.32</v>
      </c>
      <c r="FL14" s="285" t="s">
        <v>1496</v>
      </c>
      <c r="FM14" s="318">
        <v>478</v>
      </c>
      <c r="FP14" s="243" t="s">
        <v>1829</v>
      </c>
      <c r="FQ14" s="340">
        <v>10000</v>
      </c>
      <c r="FR14" s="483" t="s">
        <v>1819</v>
      </c>
      <c r="FS14" s="483"/>
      <c r="FT14" s="325" t="s">
        <v>423</v>
      </c>
      <c r="FU14" s="340">
        <v>67</v>
      </c>
      <c r="FV14" s="243" t="s">
        <v>1879</v>
      </c>
      <c r="FW14" s="340">
        <f>10000+20000+30000</f>
        <v>60000</v>
      </c>
      <c r="FX14" s="319" t="s">
        <v>1868</v>
      </c>
      <c r="FY14" s="340">
        <v>1218</v>
      </c>
      <c r="GB14" s="305" t="s">
        <v>2032</v>
      </c>
      <c r="GC14" s="340">
        <v>1000</v>
      </c>
      <c r="GD14" s="319" t="s">
        <v>1868</v>
      </c>
      <c r="GE14" s="340">
        <v>1258</v>
      </c>
      <c r="GF14" s="340" t="s">
        <v>1556</v>
      </c>
      <c r="GG14" s="340">
        <v>43</v>
      </c>
      <c r="GH14" s="305" t="s">
        <v>1945</v>
      </c>
      <c r="GI14" s="340">
        <v>2000</v>
      </c>
      <c r="GJ14" s="319" t="s">
        <v>1872</v>
      </c>
      <c r="GK14" s="340">
        <v>567</v>
      </c>
      <c r="GL14" s="340" t="s">
        <v>1603</v>
      </c>
      <c r="GN14" s="243" t="s">
        <v>1984</v>
      </c>
      <c r="GP14" s="319" t="s">
        <v>1872</v>
      </c>
      <c r="GQ14" s="340">
        <v>642</v>
      </c>
      <c r="GR14" s="340" t="s">
        <v>1556</v>
      </c>
      <c r="GS14" s="340">
        <v>50</v>
      </c>
      <c r="GT14" s="305" t="s">
        <v>2031</v>
      </c>
      <c r="GU14" s="340">
        <v>1000.05</v>
      </c>
      <c r="GV14" s="319" t="s">
        <v>1872</v>
      </c>
      <c r="GW14" s="340">
        <v>21</v>
      </c>
      <c r="GX14" s="340" t="s">
        <v>2071</v>
      </c>
      <c r="GY14" s="340">
        <v>40</v>
      </c>
      <c r="GZ14" s="313" t="s">
        <v>2070</v>
      </c>
      <c r="HA14" s="340">
        <v>1476</v>
      </c>
      <c r="HB14" s="319" t="s">
        <v>1501</v>
      </c>
      <c r="HC14" s="340">
        <v>2184</v>
      </c>
      <c r="HD14" s="325" t="s">
        <v>2178</v>
      </c>
      <c r="HE14" s="340">
        <v>90</v>
      </c>
      <c r="HF14" s="243" t="s">
        <v>1829</v>
      </c>
      <c r="HG14" s="340">
        <v>1000</v>
      </c>
      <c r="HH14" s="319" t="s">
        <v>1872</v>
      </c>
      <c r="HI14" s="340">
        <v>3063</v>
      </c>
      <c r="HJ14" s="776" t="s">
        <v>2144</v>
      </c>
      <c r="HK14" s="776"/>
      <c r="HL14" s="299" t="s">
        <v>1190</v>
      </c>
      <c r="HM14" s="340">
        <f>6.5+15</f>
        <v>21.5</v>
      </c>
      <c r="HN14" s="319" t="s">
        <v>1501</v>
      </c>
      <c r="HO14" s="340">
        <v>912</v>
      </c>
      <c r="HP14" s="499"/>
      <c r="HQ14" s="500"/>
      <c r="HR14" s="299" t="s">
        <v>2134</v>
      </c>
      <c r="HS14" s="340">
        <v>132.94999999999999</v>
      </c>
      <c r="HT14" s="319" t="s">
        <v>1500</v>
      </c>
      <c r="HU14" s="340">
        <v>1235</v>
      </c>
      <c r="HW14" s="240"/>
      <c r="HX14" s="243" t="s">
        <v>2489</v>
      </c>
      <c r="HY14" s="259">
        <f>-IA6</f>
        <v>0</v>
      </c>
      <c r="HZ14" s="319" t="s">
        <v>1501</v>
      </c>
      <c r="IA14" s="340">
        <v>2028</v>
      </c>
      <c r="IB14" s="340" t="s">
        <v>2253</v>
      </c>
      <c r="IC14" s="320">
        <v>13.56</v>
      </c>
      <c r="ID14" s="329" t="s">
        <v>2308</v>
      </c>
      <c r="IE14" s="318">
        <v>2000</v>
      </c>
      <c r="IF14" s="319" t="s">
        <v>2161</v>
      </c>
      <c r="IG14" s="259">
        <v>1000</v>
      </c>
      <c r="II14" s="331"/>
      <c r="IJ14" s="243" t="s">
        <v>2195</v>
      </c>
      <c r="IK14" s="340">
        <v>100</v>
      </c>
      <c r="IL14" s="319" t="s">
        <v>3031</v>
      </c>
      <c r="IM14" s="259">
        <v>3140</v>
      </c>
      <c r="IN14" s="340" t="s">
        <v>2122</v>
      </c>
      <c r="IO14" s="331">
        <f>75+12</f>
        <v>87</v>
      </c>
      <c r="IP14" s="299" t="s">
        <v>2134</v>
      </c>
      <c r="IQ14" s="340">
        <v>30</v>
      </c>
      <c r="IR14" s="319" t="s">
        <v>2396</v>
      </c>
      <c r="IS14" s="259" t="s">
        <v>2446</v>
      </c>
      <c r="IT14" s="340" t="s">
        <v>2348</v>
      </c>
      <c r="IU14" s="331"/>
      <c r="IV14" s="243" t="s">
        <v>2499</v>
      </c>
      <c r="IW14" s="259">
        <f>IW15*2</f>
        <v>2116.9666666666667</v>
      </c>
      <c r="IX14" s="319" t="s">
        <v>1500</v>
      </c>
      <c r="IY14" s="259">
        <v>983</v>
      </c>
      <c r="IZ14" s="340" t="s">
        <v>2348</v>
      </c>
      <c r="JA14" s="331"/>
      <c r="JB14" s="243" t="s">
        <v>2558</v>
      </c>
      <c r="JC14" s="331">
        <v>26.001000000000001</v>
      </c>
      <c r="JD14" s="319" t="s">
        <v>1500</v>
      </c>
      <c r="JE14" s="259">
        <v>635</v>
      </c>
      <c r="JF14" s="340" t="s">
        <v>2601</v>
      </c>
      <c r="JG14" s="320">
        <v>118.15</v>
      </c>
      <c r="JH14" s="243" t="s">
        <v>2647</v>
      </c>
      <c r="JI14" s="320">
        <v>1422.53</v>
      </c>
      <c r="JJ14" s="319" t="s">
        <v>1500</v>
      </c>
      <c r="JK14" s="259">
        <v>966</v>
      </c>
      <c r="JL14" s="217" t="s">
        <v>2728</v>
      </c>
      <c r="JM14" s="395"/>
      <c r="JN14" s="299" t="s">
        <v>2667</v>
      </c>
      <c r="JO14" s="240">
        <f>(3175.47/5)*2</f>
        <v>1270.1879999999999</v>
      </c>
      <c r="JP14" s="319" t="s">
        <v>2636</v>
      </c>
      <c r="JQ14" s="259">
        <v>895</v>
      </c>
      <c r="JR14" s="340" t="s">
        <v>2122</v>
      </c>
      <c r="JS14" s="395">
        <f>54.27+1.49</f>
        <v>55.760000000000005</v>
      </c>
      <c r="JT14" s="299" t="s">
        <v>2765</v>
      </c>
      <c r="JU14" s="240">
        <f>(3175.47/5)</f>
        <v>635.09399999999994</v>
      </c>
      <c r="JV14" s="319" t="s">
        <v>2637</v>
      </c>
      <c r="JW14" s="259">
        <v>561</v>
      </c>
      <c r="JX14" s="217" t="s">
        <v>2767</v>
      </c>
      <c r="JY14" s="395"/>
      <c r="JZ14" s="300" t="s">
        <v>2551</v>
      </c>
      <c r="KA14" s="340">
        <f>259.2+410.4</f>
        <v>669.59999999999991</v>
      </c>
      <c r="KB14" s="319" t="s">
        <v>2636</v>
      </c>
      <c r="KC14" s="334">
        <v>1438</v>
      </c>
      <c r="KD14" s="217" t="s">
        <v>2751</v>
      </c>
      <c r="KE14" s="395"/>
      <c r="KF14" s="299" t="s">
        <v>2502</v>
      </c>
      <c r="KG14" s="274">
        <v>131.87</v>
      </c>
      <c r="KH14" s="319" t="s">
        <v>2867</v>
      </c>
      <c r="KI14" s="259">
        <v>100032</v>
      </c>
      <c r="KJ14" s="217"/>
      <c r="KK14" s="395"/>
      <c r="KL14" s="294" t="s">
        <v>1829</v>
      </c>
      <c r="KM14" s="331">
        <v>1000</v>
      </c>
      <c r="KN14" s="319" t="s">
        <v>2541</v>
      </c>
      <c r="KO14" s="259">
        <v>-4000</v>
      </c>
      <c r="KP14" s="285" t="s">
        <v>2984</v>
      </c>
      <c r="KQ14" s="395">
        <f>205.48+73.97+65.75</f>
        <v>345.2</v>
      </c>
      <c r="KR14" s="254" t="s">
        <v>3001</v>
      </c>
      <c r="KS14" s="204">
        <v>3.33</v>
      </c>
      <c r="KT14" s="319" t="s">
        <v>2541</v>
      </c>
      <c r="KU14" s="259">
        <v>-4000</v>
      </c>
      <c r="KV14" s="340" t="s">
        <v>1793</v>
      </c>
      <c r="KW14" s="395">
        <v>13.96</v>
      </c>
      <c r="KX14" s="254" t="s">
        <v>3069</v>
      </c>
      <c r="KY14" s="593">
        <f>221.76+48.93</f>
        <v>270.69</v>
      </c>
      <c r="KZ14" s="587" t="s">
        <v>3042</v>
      </c>
      <c r="LA14" s="259">
        <v>233004</v>
      </c>
      <c r="LB14" s="217"/>
      <c r="LC14" s="395"/>
      <c r="LD14" s="300" t="s">
        <v>3109</v>
      </c>
      <c r="LE14" s="629">
        <f>3.06*0</f>
        <v>0</v>
      </c>
      <c r="LF14" s="619" t="s">
        <v>2839</v>
      </c>
      <c r="LG14" s="357"/>
      <c r="LH14" s="648" t="s">
        <v>3201</v>
      </c>
      <c r="LI14" s="395">
        <v>10.24</v>
      </c>
      <c r="LJ14" s="300" t="s">
        <v>3187</v>
      </c>
      <c r="LK14" s="629">
        <v>21.2</v>
      </c>
      <c r="LL14" s="649" t="s">
        <v>2839</v>
      </c>
      <c r="LM14" s="357"/>
      <c r="LN14" s="734" t="s">
        <v>3229</v>
      </c>
      <c r="LO14" s="286">
        <v>-28.82</v>
      </c>
      <c r="LP14" s="300" t="s">
        <v>3213</v>
      </c>
      <c r="LQ14" s="261">
        <v>30</v>
      </c>
      <c r="LR14" s="681" t="s">
        <v>3218</v>
      </c>
      <c r="LS14" s="259">
        <v>279001</v>
      </c>
      <c r="LT14" s="217" t="s">
        <v>3322</v>
      </c>
      <c r="LU14" s="395"/>
      <c r="LV14" s="300" t="s">
        <v>2463</v>
      </c>
      <c r="LW14" s="261"/>
      <c r="LX14" s="733" t="s">
        <v>3218</v>
      </c>
      <c r="LY14" s="259">
        <v>279001</v>
      </c>
      <c r="LZ14" s="460">
        <v>45350</v>
      </c>
    </row>
    <row r="15" spans="1:338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2">
        <v>56.76</v>
      </c>
      <c r="AG15" s="397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2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2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2">
        <v>46.47</v>
      </c>
      <c r="AY15" s="192"/>
      <c r="BA15" s="218" t="s">
        <v>1057</v>
      </c>
      <c r="BB15" s="462">
        <f t="shared" si="0"/>
        <v>46.47</v>
      </c>
      <c r="BC15" s="340" t="s">
        <v>1058</v>
      </c>
      <c r="BD15" s="340" t="s">
        <v>686</v>
      </c>
      <c r="BE15" s="192" t="s">
        <v>1187</v>
      </c>
      <c r="BF15" s="204">
        <v>100</v>
      </c>
      <c r="BG15" s="218" t="s">
        <v>1057</v>
      </c>
      <c r="BH15" s="462">
        <v>46.47</v>
      </c>
      <c r="BI15" s="217" t="s">
        <v>1109</v>
      </c>
      <c r="BJ15" s="204" t="s">
        <v>686</v>
      </c>
      <c r="BK15" s="254"/>
      <c r="BM15" s="218" t="s">
        <v>1057</v>
      </c>
      <c r="BN15" s="462">
        <v>46.47</v>
      </c>
      <c r="BO15" s="217" t="s">
        <v>1109</v>
      </c>
      <c r="BP15" s="204" t="s">
        <v>686</v>
      </c>
      <c r="BQ15" s="254"/>
      <c r="BS15" s="218" t="s">
        <v>1057</v>
      </c>
      <c r="BT15" s="377">
        <v>27</v>
      </c>
      <c r="BW15" s="254"/>
      <c r="BY15" s="218" t="s">
        <v>1199</v>
      </c>
      <c r="BZ15" s="462">
        <v>17.001000000000001</v>
      </c>
      <c r="CA15" s="204" t="s">
        <v>1230</v>
      </c>
      <c r="CB15" s="204">
        <v>7</v>
      </c>
      <c r="CC15" s="254"/>
      <c r="CE15" s="218" t="s">
        <v>1199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1324</v>
      </c>
      <c r="CN15" s="204"/>
      <c r="CO15" s="254"/>
      <c r="CQ15" s="218" t="s">
        <v>1199</v>
      </c>
      <c r="CR15" s="462">
        <v>15.87</v>
      </c>
      <c r="CS15" s="261" t="s">
        <v>1340</v>
      </c>
      <c r="CT15" s="204">
        <v>150</v>
      </c>
      <c r="CU15" s="266" t="s">
        <v>311</v>
      </c>
      <c r="CV15" s="204" t="s">
        <v>686</v>
      </c>
      <c r="CW15" s="218" t="s">
        <v>1199</v>
      </c>
      <c r="CX15" s="462">
        <v>15.87</v>
      </c>
      <c r="CY15" s="217" t="s">
        <v>1058</v>
      </c>
      <c r="CZ15" s="204"/>
      <c r="DA15" s="271" t="s">
        <v>1320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1448</v>
      </c>
      <c r="DH15" s="261">
        <v>100</v>
      </c>
      <c r="DI15" s="218" t="s">
        <v>1199</v>
      </c>
      <c r="DJ15" s="462">
        <v>2.54</v>
      </c>
      <c r="DM15" s="271" t="s">
        <v>1513</v>
      </c>
      <c r="DN15" s="274">
        <v>10001</v>
      </c>
      <c r="DO15" s="218" t="s">
        <v>1496</v>
      </c>
      <c r="DP15" s="377">
        <v>1595</v>
      </c>
      <c r="DS15" s="271" t="s">
        <v>1527</v>
      </c>
      <c r="DT15" s="261">
        <v>100</v>
      </c>
      <c r="DU15" s="218" t="s">
        <v>1563</v>
      </c>
      <c r="DV15" s="472">
        <v>10000</v>
      </c>
      <c r="DW15" s="340" t="s">
        <v>1573</v>
      </c>
      <c r="DY15" s="242" t="s">
        <v>1657</v>
      </c>
      <c r="DZ15" s="340">
        <v>63.38</v>
      </c>
      <c r="EA15" s="218" t="s">
        <v>1564</v>
      </c>
      <c r="EB15" s="472">
        <v>10000</v>
      </c>
      <c r="EC15" s="340" t="s">
        <v>1613</v>
      </c>
      <c r="ED15" s="340">
        <v>14.65</v>
      </c>
      <c r="EE15" s="242" t="s">
        <v>1657</v>
      </c>
      <c r="EF15" s="340">
        <v>112.09</v>
      </c>
      <c r="EG15" s="308"/>
      <c r="EH15" s="285" t="s">
        <v>1495</v>
      </c>
      <c r="EI15" s="318">
        <v>10000</v>
      </c>
      <c r="EJ15" s="340" t="s">
        <v>1573</v>
      </c>
      <c r="EL15" s="300" t="s">
        <v>1645</v>
      </c>
      <c r="EM15" s="308">
        <f>17.77+10.35</f>
        <v>28.119999999999997</v>
      </c>
      <c r="EN15" s="285" t="s">
        <v>1563</v>
      </c>
      <c r="EO15" s="318">
        <v>20000</v>
      </c>
      <c r="EP15" s="197" t="s">
        <v>1574</v>
      </c>
      <c r="ER15" s="300" t="s">
        <v>1027</v>
      </c>
      <c r="ES15" s="308">
        <f>936.25+797.15</f>
        <v>1733.4</v>
      </c>
      <c r="ET15" s="285" t="s">
        <v>1699</v>
      </c>
      <c r="EU15" s="318">
        <v>12000</v>
      </c>
      <c r="EX15" s="299" t="s">
        <v>1332</v>
      </c>
      <c r="EY15" s="340">
        <v>125.36</v>
      </c>
      <c r="EZ15" s="204" t="s">
        <v>1733</v>
      </c>
      <c r="FA15" s="260" t="s">
        <v>1886</v>
      </c>
      <c r="FD15" s="300" t="s">
        <v>1027</v>
      </c>
      <c r="FE15" s="308">
        <f>797+936</f>
        <v>1733</v>
      </c>
      <c r="FF15" s="204" t="s">
        <v>1733</v>
      </c>
      <c r="FG15" s="260" t="s">
        <v>1886</v>
      </c>
      <c r="FH15" s="197" t="s">
        <v>1805</v>
      </c>
      <c r="FI15" s="340">
        <f>1.86+5.79</f>
        <v>7.65</v>
      </c>
      <c r="FJ15" s="299" t="s">
        <v>1784</v>
      </c>
      <c r="FK15" s="340">
        <v>102.91</v>
      </c>
      <c r="FL15" s="285" t="s">
        <v>1695</v>
      </c>
      <c r="FM15" s="318">
        <v>3000</v>
      </c>
      <c r="FN15" s="340" t="s">
        <v>1573</v>
      </c>
      <c r="FP15" s="310" t="s">
        <v>1596</v>
      </c>
      <c r="FQ15" s="340" t="s">
        <v>686</v>
      </c>
      <c r="FR15" s="285" t="s">
        <v>1496</v>
      </c>
      <c r="FS15" s="318">
        <v>424</v>
      </c>
      <c r="FT15" s="340" t="s">
        <v>1793</v>
      </c>
      <c r="FV15" s="243" t="s">
        <v>1829</v>
      </c>
      <c r="FW15" s="340">
        <v>5300</v>
      </c>
      <c r="FX15" s="319" t="s">
        <v>1407</v>
      </c>
      <c r="FY15" s="204">
        <v>0</v>
      </c>
      <c r="FZ15" s="340" t="s">
        <v>1603</v>
      </c>
      <c r="GB15" s="243" t="s">
        <v>1879</v>
      </c>
      <c r="GC15" s="340">
        <v>63477.54</v>
      </c>
      <c r="GD15" s="319" t="s">
        <v>1407</v>
      </c>
      <c r="GE15" s="204">
        <v>0</v>
      </c>
      <c r="GH15" s="243" t="s">
        <v>1984</v>
      </c>
      <c r="GJ15" s="319" t="s">
        <v>1868</v>
      </c>
      <c r="GK15" s="340">
        <v>268</v>
      </c>
      <c r="GL15" s="325" t="s">
        <v>423</v>
      </c>
      <c r="GM15" s="340">
        <v>114</v>
      </c>
      <c r="GN15" s="313" t="s">
        <v>1998</v>
      </c>
      <c r="GO15" s="340">
        <v>139.96</v>
      </c>
      <c r="GP15" s="319" t="s">
        <v>1868</v>
      </c>
      <c r="GQ15" s="340">
        <v>318</v>
      </c>
      <c r="GT15" s="305" t="s">
        <v>2036</v>
      </c>
      <c r="GU15" s="340">
        <v>35.1</v>
      </c>
      <c r="GV15" s="319" t="s">
        <v>1868</v>
      </c>
      <c r="GW15" s="340">
        <v>360</v>
      </c>
      <c r="GZ15" s="300" t="s">
        <v>2056</v>
      </c>
      <c r="HA15" s="340">
        <f>10+10+120*2</f>
        <v>260</v>
      </c>
      <c r="HB15" s="319" t="s">
        <v>1872</v>
      </c>
      <c r="HC15" s="340">
        <v>2569</v>
      </c>
      <c r="HD15" s="340" t="s">
        <v>1793</v>
      </c>
      <c r="HE15" s="240"/>
      <c r="HF15" s="243" t="s">
        <v>2132</v>
      </c>
      <c r="HG15" s="340">
        <v>80</v>
      </c>
      <c r="HH15" s="319" t="s">
        <v>1868</v>
      </c>
      <c r="HI15" s="340">
        <v>357</v>
      </c>
      <c r="HJ15" s="501">
        <v>3179.26</v>
      </c>
      <c r="HK15" s="500" t="s">
        <v>2099</v>
      </c>
      <c r="HL15" s="299" t="s">
        <v>2146</v>
      </c>
      <c r="HM15" s="340">
        <f>9+10.96</f>
        <v>19.96</v>
      </c>
      <c r="HN15" s="319" t="s">
        <v>1872</v>
      </c>
      <c r="HO15" s="340">
        <v>111</v>
      </c>
      <c r="HP15" s="337"/>
      <c r="HR15" s="299" t="s">
        <v>2135</v>
      </c>
      <c r="HS15" s="340">
        <v>161.36000000000001</v>
      </c>
      <c r="HT15" s="319" t="s">
        <v>1501</v>
      </c>
      <c r="HU15" s="340">
        <v>1573</v>
      </c>
      <c r="HV15" s="340" t="s">
        <v>2234</v>
      </c>
      <c r="HW15" s="240"/>
      <c r="HX15" s="243" t="s">
        <v>2240</v>
      </c>
      <c r="HY15" s="441">
        <f>HY16*5</f>
        <v>2104.9333333333334</v>
      </c>
      <c r="HZ15" s="319" t="s">
        <v>2229</v>
      </c>
      <c r="IA15" s="259">
        <v>442</v>
      </c>
      <c r="IB15" s="340" t="s">
        <v>2266</v>
      </c>
      <c r="IC15" s="320"/>
      <c r="ID15" s="330" t="s">
        <v>2309</v>
      </c>
      <c r="IE15" s="318">
        <v>4000</v>
      </c>
      <c r="IF15" s="319" t="s">
        <v>2258</v>
      </c>
      <c r="IG15" s="259">
        <f>12000+100000+33000</f>
        <v>145000</v>
      </c>
      <c r="IH15" s="340" t="s">
        <v>2348</v>
      </c>
      <c r="II15" s="320"/>
      <c r="IJ15" s="243" t="s">
        <v>2307</v>
      </c>
      <c r="IK15" s="441">
        <f>IK16*2</f>
        <v>1833.7466666666667</v>
      </c>
      <c r="IL15" s="319" t="s">
        <v>1872</v>
      </c>
      <c r="IM15" s="259">
        <v>450</v>
      </c>
      <c r="IN15" s="340" t="s">
        <v>2383</v>
      </c>
      <c r="IO15" s="320">
        <v>12.4</v>
      </c>
      <c r="IP15" s="299" t="s">
        <v>2275</v>
      </c>
      <c r="IQ15" s="274">
        <v>119.64</v>
      </c>
      <c r="IR15" s="483" t="s">
        <v>2381</v>
      </c>
      <c r="IS15" s="259">
        <f>100*(120+1000+330+310)</f>
        <v>176000</v>
      </c>
      <c r="IT15" s="340" t="s">
        <v>2486</v>
      </c>
      <c r="IU15" s="331">
        <v>43</v>
      </c>
      <c r="IV15" s="299" t="s">
        <v>2443</v>
      </c>
      <c r="IW15" s="259">
        <f>3175.45/3</f>
        <v>1058.4833333333333</v>
      </c>
      <c r="IX15" s="319" t="s">
        <v>1501</v>
      </c>
      <c r="IY15" s="259">
        <v>618</v>
      </c>
      <c r="IZ15" s="340" t="s">
        <v>2122</v>
      </c>
      <c r="JA15" s="331">
        <v>52.000999999999998</v>
      </c>
      <c r="JB15" s="243" t="s">
        <v>1829</v>
      </c>
      <c r="JC15" s="331">
        <v>2000</v>
      </c>
      <c r="JD15" s="319" t="s">
        <v>1501</v>
      </c>
      <c r="JE15" s="259">
        <v>1778</v>
      </c>
      <c r="JF15" s="340" t="s">
        <v>2867</v>
      </c>
      <c r="JG15" s="340">
        <f>6.24+2.24</f>
        <v>8.48</v>
      </c>
      <c r="JH15" s="312" t="s">
        <v>2598</v>
      </c>
      <c r="JI15" s="320">
        <v>155000</v>
      </c>
      <c r="JJ15" s="319" t="s">
        <v>1501</v>
      </c>
      <c r="JK15" s="259">
        <v>1556</v>
      </c>
      <c r="JL15" s="340" t="s">
        <v>2868</v>
      </c>
      <c r="JM15" s="327">
        <v>1.96</v>
      </c>
      <c r="JN15" s="299" t="s">
        <v>2454</v>
      </c>
      <c r="JO15" s="202">
        <v>53.91</v>
      </c>
      <c r="JP15" s="319" t="s">
        <v>2637</v>
      </c>
      <c r="JQ15" s="259">
        <v>76</v>
      </c>
      <c r="JR15" s="340" t="s">
        <v>2675</v>
      </c>
      <c r="JS15" s="395">
        <v>200</v>
      </c>
      <c r="JT15" s="299" t="s">
        <v>2454</v>
      </c>
      <c r="JU15" s="202">
        <v>75.430000000000007</v>
      </c>
      <c r="JV15" s="319" t="s">
        <v>2889</v>
      </c>
      <c r="JW15" s="259">
        <v>2151</v>
      </c>
      <c r="JX15" s="217"/>
      <c r="JY15" s="395"/>
      <c r="JZ15" s="300" t="s">
        <v>2742</v>
      </c>
      <c r="KA15" s="340">
        <v>10</v>
      </c>
      <c r="KB15" s="319" t="s">
        <v>2867</v>
      </c>
      <c r="KC15" s="259">
        <v>100491</v>
      </c>
      <c r="KD15" s="800" t="s">
        <v>2797</v>
      </c>
      <c r="KE15" s="800"/>
      <c r="KF15" s="299" t="s">
        <v>1190</v>
      </c>
      <c r="KG15" s="202">
        <f>10+6.5+15</f>
        <v>31.5</v>
      </c>
      <c r="KH15" s="325" t="s">
        <v>2839</v>
      </c>
      <c r="KI15" s="357"/>
      <c r="KJ15" s="340" t="s">
        <v>2783</v>
      </c>
      <c r="KK15" s="395"/>
      <c r="KL15" s="243" t="s">
        <v>2901</v>
      </c>
      <c r="KM15" s="320">
        <v>50065.8</v>
      </c>
      <c r="KN15" s="204" t="s">
        <v>2807</v>
      </c>
      <c r="KO15" s="318">
        <v>199006</v>
      </c>
      <c r="KP15" s="217" t="s">
        <v>2967</v>
      </c>
      <c r="KQ15" s="395">
        <f>1.52</f>
        <v>1.52</v>
      </c>
      <c r="KR15" s="254" t="s">
        <v>2411</v>
      </c>
      <c r="KS15" s="204">
        <v>194.04</v>
      </c>
      <c r="KT15" s="319" t="s">
        <v>2965</v>
      </c>
      <c r="KU15" s="259">
        <v>0</v>
      </c>
      <c r="KV15" s="217" t="s">
        <v>2751</v>
      </c>
      <c r="KW15" s="395"/>
      <c r="KX15" s="254" t="s">
        <v>3095</v>
      </c>
      <c r="KY15" s="606">
        <v>49.7</v>
      </c>
      <c r="KZ15" s="319" t="s">
        <v>2867</v>
      </c>
      <c r="LA15" s="259">
        <v>101577</v>
      </c>
      <c r="LB15" s="616" t="s">
        <v>2783</v>
      </c>
      <c r="LC15" s="395"/>
      <c r="LD15" s="300" t="s">
        <v>3077</v>
      </c>
      <c r="LE15" s="629">
        <v>14.9</v>
      </c>
      <c r="LF15" s="614" t="s">
        <v>2954</v>
      </c>
      <c r="LG15" s="318">
        <v>-132</v>
      </c>
      <c r="LH15" s="217" t="s">
        <v>2751</v>
      </c>
      <c r="LI15" s="395">
        <v>9.14</v>
      </c>
      <c r="LJ15" s="300" t="s">
        <v>3186</v>
      </c>
      <c r="LK15" s="629">
        <v>34.380000000000003</v>
      </c>
      <c r="LL15" s="650" t="s">
        <v>2954</v>
      </c>
      <c r="LM15" s="318">
        <v>-76</v>
      </c>
      <c r="LN15" s="734"/>
      <c r="LO15" s="286"/>
      <c r="LP15" s="300" t="s">
        <v>3219</v>
      </c>
      <c r="LQ15" s="261">
        <f>1021.88+238.15</f>
        <v>1260.03</v>
      </c>
      <c r="LR15" s="681" t="s">
        <v>2867</v>
      </c>
      <c r="LS15" s="259">
        <v>100925</v>
      </c>
      <c r="LT15" s="729" t="s">
        <v>3323</v>
      </c>
      <c r="LU15" s="395"/>
      <c r="LV15" s="300" t="s">
        <v>2463</v>
      </c>
      <c r="LW15" s="261"/>
      <c r="LX15" s="733" t="s">
        <v>2867</v>
      </c>
      <c r="LY15" s="259">
        <v>100925</v>
      </c>
      <c r="LZ15" s="460">
        <v>45350</v>
      </c>
    </row>
    <row r="16" spans="1:338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2">
        <v>115.37</v>
      </c>
      <c r="AI16" s="242" t="s">
        <v>1019</v>
      </c>
      <c r="AJ16" s="204">
        <v>0</v>
      </c>
      <c r="AK16" s="218" t="s">
        <v>1074</v>
      </c>
      <c r="AL16" s="462">
        <v>115.001</v>
      </c>
      <c r="AO16" s="192" t="s">
        <v>1172</v>
      </c>
      <c r="AP16" s="204">
        <v>100</v>
      </c>
      <c r="AQ16" s="218" t="s">
        <v>1134</v>
      </c>
      <c r="AR16" s="462">
        <v>19</v>
      </c>
      <c r="AS16" s="397"/>
      <c r="AU16" s="192" t="s">
        <v>1156</v>
      </c>
      <c r="AV16" s="340">
        <v>100</v>
      </c>
      <c r="AW16" s="218" t="s">
        <v>1134</v>
      </c>
      <c r="AX16" s="462">
        <v>19.001000000000001</v>
      </c>
      <c r="AY16" s="192"/>
      <c r="BA16" s="218" t="s">
        <v>1134</v>
      </c>
      <c r="BB16" s="462">
        <f t="shared" si="0"/>
        <v>19.001000000000001</v>
      </c>
      <c r="BC16" s="340" t="s">
        <v>1109</v>
      </c>
      <c r="BD16" s="340" t="s">
        <v>686</v>
      </c>
      <c r="BE16" s="166" t="s">
        <v>1958</v>
      </c>
      <c r="BF16" s="204">
        <v>420</v>
      </c>
      <c r="BG16" s="218" t="s">
        <v>1199</v>
      </c>
      <c r="BH16" s="462">
        <v>17.37</v>
      </c>
      <c r="BK16" s="255" t="s">
        <v>1959</v>
      </c>
      <c r="BL16" s="204">
        <v>459</v>
      </c>
      <c r="BM16" s="218" t="s">
        <v>1199</v>
      </c>
      <c r="BN16" s="462">
        <v>17.37</v>
      </c>
      <c r="BQ16" s="255" t="s">
        <v>471</v>
      </c>
      <c r="BR16" s="204" t="s">
        <v>686</v>
      </c>
      <c r="BS16" s="218" t="s">
        <v>1199</v>
      </c>
      <c r="BT16" s="462">
        <v>17.37</v>
      </c>
      <c r="BU16" s="217" t="s">
        <v>1058</v>
      </c>
      <c r="BV16" s="204" t="s">
        <v>686</v>
      </c>
      <c r="BW16" s="255" t="s">
        <v>1248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1314</v>
      </c>
      <c r="CJ16" s="217">
        <v>100</v>
      </c>
      <c r="CK16" s="218" t="s">
        <v>1165</v>
      </c>
      <c r="CL16" s="462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1338</v>
      </c>
      <c r="CT16" s="217">
        <v>9.75</v>
      </c>
      <c r="CU16" s="255" t="s">
        <v>471</v>
      </c>
      <c r="CV16" s="217" t="s">
        <v>686</v>
      </c>
      <c r="CW16" s="478" t="s">
        <v>1055</v>
      </c>
      <c r="CX16" s="481">
        <v>100.01</v>
      </c>
      <c r="CY16" s="261" t="s">
        <v>1312</v>
      </c>
      <c r="DA16" s="270" t="s">
        <v>1373</v>
      </c>
      <c r="DB16" s="217">
        <v>288.75</v>
      </c>
      <c r="DC16" s="218" t="s">
        <v>1199</v>
      </c>
      <c r="DD16" s="462">
        <v>14.37</v>
      </c>
      <c r="DE16" s="204" t="s">
        <v>578</v>
      </c>
      <c r="DG16" s="271" t="s">
        <v>1449</v>
      </c>
      <c r="DH16" s="261">
        <v>100</v>
      </c>
      <c r="DI16" s="478" t="s">
        <v>1055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1495</v>
      </c>
      <c r="DP16" s="472">
        <f>10000+10000</f>
        <v>20000</v>
      </c>
      <c r="DS16" s="271" t="s">
        <v>1002</v>
      </c>
      <c r="DT16" s="274">
        <v>1800.04</v>
      </c>
      <c r="DU16" s="218" t="s">
        <v>1564</v>
      </c>
      <c r="DV16" s="472">
        <v>10000</v>
      </c>
      <c r="DW16" s="340" t="s">
        <v>1572</v>
      </c>
      <c r="DX16" s="340">
        <v>32.1</v>
      </c>
      <c r="DY16" s="242" t="s">
        <v>1430</v>
      </c>
      <c r="DZ16" s="340">
        <v>64.88</v>
      </c>
      <c r="EA16" s="218" t="s">
        <v>1495</v>
      </c>
      <c r="EB16" s="472">
        <v>10000</v>
      </c>
      <c r="EE16" s="242" t="s">
        <v>1430</v>
      </c>
      <c r="EF16" s="340">
        <v>56.99</v>
      </c>
      <c r="EH16" s="285" t="s">
        <v>1494</v>
      </c>
      <c r="EI16" s="318">
        <v>40000</v>
      </c>
      <c r="EJ16" s="340" t="s">
        <v>1190</v>
      </c>
      <c r="EK16" s="340">
        <v>19.5</v>
      </c>
      <c r="EL16" s="242" t="s">
        <v>1332</v>
      </c>
      <c r="EM16" s="340" t="s">
        <v>1672</v>
      </c>
      <c r="EN16" s="285" t="s">
        <v>1564</v>
      </c>
      <c r="EO16" s="318">
        <v>10000</v>
      </c>
      <c r="EP16" s="204" t="s">
        <v>1494</v>
      </c>
      <c r="EQ16" s="340">
        <v>54.94</v>
      </c>
      <c r="ER16" s="299" t="s">
        <v>1332</v>
      </c>
      <c r="ES16" s="340">
        <v>88.98</v>
      </c>
      <c r="ET16" s="285" t="s">
        <v>1703</v>
      </c>
      <c r="EU16" s="318">
        <v>25000</v>
      </c>
      <c r="EX16" s="299" t="s">
        <v>1650</v>
      </c>
      <c r="EY16" s="340">
        <v>77.72</v>
      </c>
      <c r="EZ16" s="285" t="s">
        <v>1699</v>
      </c>
      <c r="FA16" s="318">
        <v>4000</v>
      </c>
      <c r="FB16" s="340" t="s">
        <v>1761</v>
      </c>
      <c r="FD16" s="299" t="s">
        <v>1332</v>
      </c>
      <c r="FE16" s="340">
        <v>50.06</v>
      </c>
      <c r="FF16" s="285" t="s">
        <v>1699</v>
      </c>
      <c r="FG16" s="318">
        <v>4000</v>
      </c>
      <c r="FH16" s="197" t="s">
        <v>1698</v>
      </c>
      <c r="FI16" s="340">
        <f>15053.39-15000</f>
        <v>53.389999999999418</v>
      </c>
      <c r="FJ16" s="299" t="s">
        <v>1650</v>
      </c>
      <c r="FK16" s="340">
        <v>67.08</v>
      </c>
      <c r="FL16" s="204" t="s">
        <v>1704</v>
      </c>
      <c r="FM16" s="260">
        <v>1000</v>
      </c>
      <c r="FN16" s="340" t="s">
        <v>1815</v>
      </c>
      <c r="FO16" s="340">
        <v>2730</v>
      </c>
      <c r="FP16" s="300" t="s">
        <v>1826</v>
      </c>
      <c r="FQ16" s="340">
        <f>143.5+188.4-28</f>
        <v>303.89999999999998</v>
      </c>
      <c r="FR16" s="285" t="s">
        <v>1695</v>
      </c>
      <c r="FS16" s="318">
        <v>3000</v>
      </c>
      <c r="FT16" s="340" t="s">
        <v>1573</v>
      </c>
      <c r="FV16" s="310" t="s">
        <v>3215</v>
      </c>
      <c r="FW16" s="340">
        <v>3779.24</v>
      </c>
      <c r="FX16" s="285" t="s">
        <v>1620</v>
      </c>
      <c r="FY16" s="340">
        <v>120</v>
      </c>
      <c r="FZ16" s="325" t="s">
        <v>423</v>
      </c>
      <c r="GA16" s="340">
        <v>161.63999999999999</v>
      </c>
      <c r="GB16" s="310" t="s">
        <v>1938</v>
      </c>
      <c r="GC16" s="340">
        <v>378.81</v>
      </c>
      <c r="GD16" s="285" t="s">
        <v>1620</v>
      </c>
      <c r="GE16" s="340">
        <v>130</v>
      </c>
      <c r="GF16" s="340" t="s">
        <v>1603</v>
      </c>
      <c r="GH16" s="310" t="s">
        <v>1941</v>
      </c>
      <c r="GI16" s="340">
        <v>2454.0500000000002</v>
      </c>
      <c r="GJ16" s="319" t="s">
        <v>1407</v>
      </c>
      <c r="GK16" s="204">
        <v>0</v>
      </c>
      <c r="GN16" s="313" t="s">
        <v>1997</v>
      </c>
      <c r="GO16" s="340">
        <v>324.7</v>
      </c>
      <c r="GP16" s="319" t="s">
        <v>1407</v>
      </c>
      <c r="GQ16" s="204">
        <v>0</v>
      </c>
      <c r="GR16" s="340" t="s">
        <v>1603</v>
      </c>
      <c r="GT16" s="243" t="s">
        <v>2020</v>
      </c>
      <c r="GU16" s="340">
        <f>84250</f>
        <v>84250</v>
      </c>
      <c r="GV16" s="285" t="s">
        <v>1620</v>
      </c>
      <c r="GW16" s="340">
        <v>174</v>
      </c>
      <c r="GY16" s="240"/>
      <c r="GZ16" s="300" t="s">
        <v>1027</v>
      </c>
      <c r="HA16" s="340">
        <v>1867.15</v>
      </c>
      <c r="HB16" s="319" t="s">
        <v>1868</v>
      </c>
      <c r="HC16" s="340">
        <v>402</v>
      </c>
      <c r="HE16" s="240"/>
      <c r="HF16" s="243" t="s">
        <v>2034</v>
      </c>
      <c r="HG16" s="441">
        <f>HG20*5</f>
        <v>2104.9333333333334</v>
      </c>
      <c r="HH16" s="285" t="s">
        <v>1620</v>
      </c>
      <c r="HI16" s="340">
        <v>90</v>
      </c>
      <c r="HJ16" s="502">
        <v>-114.61</v>
      </c>
      <c r="HK16" s="340" t="s">
        <v>2105</v>
      </c>
      <c r="HL16" s="299" t="s">
        <v>2165</v>
      </c>
      <c r="HM16" s="340">
        <v>32</v>
      </c>
      <c r="HN16" s="319" t="s">
        <v>1868</v>
      </c>
      <c r="HO16" s="340">
        <v>407</v>
      </c>
      <c r="HP16" s="499"/>
      <c r="HQ16" s="500"/>
      <c r="HR16" s="299" t="s">
        <v>1810</v>
      </c>
      <c r="HS16" s="340">
        <v>113.11</v>
      </c>
      <c r="HT16" s="319" t="s">
        <v>1502</v>
      </c>
      <c r="HU16" s="340">
        <v>0</v>
      </c>
      <c r="HV16" s="499" t="s">
        <v>2230</v>
      </c>
      <c r="HW16" s="327">
        <f>18.8+37.6</f>
        <v>56.400000000000006</v>
      </c>
      <c r="HX16" s="299" t="s">
        <v>2033</v>
      </c>
      <c r="HY16" s="441">
        <f>2525.92/6</f>
        <v>420.98666666666668</v>
      </c>
      <c r="HZ16" s="319" t="s">
        <v>1872</v>
      </c>
      <c r="IA16" s="340">
        <v>606</v>
      </c>
      <c r="IB16" s="503" t="s">
        <v>2259</v>
      </c>
      <c r="IC16" s="322">
        <f>208.9*2</f>
        <v>417.8</v>
      </c>
      <c r="ID16" s="243" t="s">
        <v>2195</v>
      </c>
      <c r="IE16" s="340">
        <v>100</v>
      </c>
      <c r="IF16" s="319" t="s">
        <v>2257</v>
      </c>
      <c r="IG16" s="340">
        <f>10500+2</f>
        <v>10502</v>
      </c>
      <c r="IH16" s="340" t="s">
        <v>2122</v>
      </c>
      <c r="II16" s="320">
        <f>1.64+37.8</f>
        <v>39.44</v>
      </c>
      <c r="IJ16" s="299" t="s">
        <v>2033</v>
      </c>
      <c r="IK16" s="441">
        <f>2750.62/3</f>
        <v>916.87333333333333</v>
      </c>
      <c r="IL16" s="319" t="s">
        <v>1868</v>
      </c>
      <c r="IM16" s="259">
        <v>102</v>
      </c>
      <c r="IN16" s="340" t="s">
        <v>1793</v>
      </c>
      <c r="IO16" s="320">
        <v>1.55</v>
      </c>
      <c r="IP16" s="299" t="s">
        <v>1190</v>
      </c>
      <c r="IQ16" s="202">
        <f>15+6.5</f>
        <v>21.5</v>
      </c>
      <c r="IR16" s="319" t="s">
        <v>2349</v>
      </c>
      <c r="IS16" s="340">
        <f>10502+14002</f>
        <v>24504</v>
      </c>
      <c r="IT16" s="217" t="s">
        <v>2547</v>
      </c>
      <c r="IU16" s="320">
        <v>7.57</v>
      </c>
      <c r="IV16" s="299" t="s">
        <v>2454</v>
      </c>
      <c r="IW16" s="202">
        <v>47.54</v>
      </c>
      <c r="IX16" s="319" t="s">
        <v>2449</v>
      </c>
      <c r="IY16" s="259">
        <v>24</v>
      </c>
      <c r="IZ16" s="340" t="s">
        <v>2628</v>
      </c>
      <c r="JA16" s="320">
        <v>16.05</v>
      </c>
      <c r="JB16" s="243" t="s">
        <v>2499</v>
      </c>
      <c r="JC16" s="240">
        <f>JC17*2</f>
        <v>2116.98</v>
      </c>
      <c r="JD16" s="319" t="s">
        <v>2557</v>
      </c>
      <c r="JE16" s="259">
        <v>89</v>
      </c>
      <c r="JF16" s="499" t="s">
        <v>2584</v>
      </c>
      <c r="JG16" s="327">
        <v>379.39</v>
      </c>
      <c r="JH16" s="299" t="s">
        <v>2606</v>
      </c>
      <c r="JI16" s="202" t="s">
        <v>657</v>
      </c>
      <c r="JJ16" s="319" t="s">
        <v>2557</v>
      </c>
      <c r="JK16" s="259">
        <v>4000</v>
      </c>
      <c r="JL16" s="340" t="s">
        <v>2876</v>
      </c>
      <c r="JM16" s="202">
        <f>25.72</f>
        <v>25.72</v>
      </c>
      <c r="JN16" s="299" t="s">
        <v>2568</v>
      </c>
      <c r="JO16" s="202">
        <v>23.96</v>
      </c>
      <c r="JP16" s="319" t="s">
        <v>2889</v>
      </c>
      <c r="JQ16" s="357">
        <v>2441</v>
      </c>
      <c r="JR16" s="340" t="s">
        <v>2695</v>
      </c>
      <c r="JS16" s="395">
        <v>300</v>
      </c>
      <c r="JT16" s="299" t="s">
        <v>2568</v>
      </c>
      <c r="JU16" s="202">
        <v>129.6</v>
      </c>
      <c r="JV16" s="483" t="s">
        <v>2638</v>
      </c>
      <c r="JW16" s="357"/>
      <c r="JX16" s="340" t="s">
        <v>2783</v>
      </c>
      <c r="JY16" s="395"/>
      <c r="JZ16" s="300" t="s">
        <v>2752</v>
      </c>
      <c r="KA16" s="340">
        <f>6.8+7.8</f>
        <v>14.6</v>
      </c>
      <c r="KB16" s="483" t="s">
        <v>2748</v>
      </c>
      <c r="KC16" s="357"/>
      <c r="KD16" s="491"/>
      <c r="KE16" s="491"/>
      <c r="KF16" s="299" t="s">
        <v>2643</v>
      </c>
      <c r="KG16" s="202">
        <f>14.32+18</f>
        <v>32.32</v>
      </c>
      <c r="KH16" s="285" t="s">
        <v>2838</v>
      </c>
      <c r="KI16" s="341">
        <v>30</v>
      </c>
      <c r="KJ16" s="217" t="s">
        <v>2934</v>
      </c>
      <c r="KK16" s="395">
        <f>7.87+11.3</f>
        <v>19.170000000000002</v>
      </c>
      <c r="KL16" s="243" t="s">
        <v>2856</v>
      </c>
      <c r="KM16" s="320">
        <f>KM19*9</f>
        <v>1272.2760000000001</v>
      </c>
      <c r="KN16" s="319" t="s">
        <v>2867</v>
      </c>
      <c r="KO16" s="259">
        <v>100842</v>
      </c>
      <c r="KP16" s="204" t="s">
        <v>2989</v>
      </c>
      <c r="KQ16" s="340">
        <f>30000*(1-0.9807)</f>
        <v>578.99999999999955</v>
      </c>
      <c r="KR16" s="254" t="s">
        <v>3013</v>
      </c>
      <c r="KS16" s="204">
        <f>111.95+16.63</f>
        <v>128.58000000000001</v>
      </c>
      <c r="KT16" s="319" t="s">
        <v>2867</v>
      </c>
      <c r="KU16" s="259">
        <v>101064</v>
      </c>
      <c r="KV16" s="491" t="s">
        <v>2797</v>
      </c>
      <c r="KW16" s="491"/>
      <c r="KX16" s="254" t="s">
        <v>3070</v>
      </c>
      <c r="KY16" s="606">
        <f>82.2+45.07</f>
        <v>127.27000000000001</v>
      </c>
      <c r="KZ16" s="325" t="s">
        <v>2839</v>
      </c>
      <c r="LA16" s="357"/>
      <c r="LB16" s="614" t="s">
        <v>3028</v>
      </c>
      <c r="LC16" s="395">
        <f>205.48+73.97+65.75+0.51</f>
        <v>345.71</v>
      </c>
      <c r="LD16" s="300" t="s">
        <v>3128</v>
      </c>
      <c r="LE16" s="629">
        <v>69.900000000000006</v>
      </c>
      <c r="LF16" s="619" t="s">
        <v>3036</v>
      </c>
      <c r="LG16" s="464">
        <v>10</v>
      </c>
      <c r="LH16" s="653" t="s">
        <v>2797</v>
      </c>
      <c r="LI16" s="653"/>
      <c r="LJ16" s="300" t="s">
        <v>3180</v>
      </c>
      <c r="LK16" s="629">
        <v>50</v>
      </c>
      <c r="LL16" s="649" t="s">
        <v>3036</v>
      </c>
      <c r="LM16" s="464">
        <v>11</v>
      </c>
      <c r="LN16" s="677" t="s">
        <v>3039</v>
      </c>
      <c r="LO16" s="395"/>
      <c r="LP16" s="300" t="s">
        <v>3239</v>
      </c>
      <c r="LQ16" s="261">
        <v>38.380000000000003</v>
      </c>
      <c r="LR16" s="679" t="s">
        <v>2839</v>
      </c>
      <c r="LS16" s="357"/>
      <c r="LT16" s="729" t="s">
        <v>3323</v>
      </c>
      <c r="LV16" s="300" t="s">
        <v>2463</v>
      </c>
      <c r="LW16" s="261"/>
      <c r="LX16" s="731" t="s">
        <v>2839</v>
      </c>
      <c r="LY16" s="357"/>
    </row>
    <row r="17" spans="1:338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1261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2"/>
      <c r="CA17" s="217" t="s">
        <v>1058</v>
      </c>
      <c r="CB17" s="204" t="s">
        <v>686</v>
      </c>
      <c r="CC17" s="255"/>
      <c r="CD17" s="204"/>
      <c r="CE17" s="218" t="s">
        <v>1165</v>
      </c>
      <c r="CF17" s="462"/>
      <c r="CI17" s="255" t="s">
        <v>471</v>
      </c>
      <c r="CJ17" s="204"/>
      <c r="CK17" s="218" t="s">
        <v>1075</v>
      </c>
      <c r="CL17" s="462">
        <v>5920</v>
      </c>
      <c r="CO17" s="255"/>
      <c r="CP17" s="204"/>
      <c r="CQ17" s="218" t="s">
        <v>1165</v>
      </c>
      <c r="CR17" s="462"/>
      <c r="CU17" s="256" t="s">
        <v>1345</v>
      </c>
      <c r="CV17" s="217">
        <v>615.20000000000005</v>
      </c>
      <c r="CW17" s="218" t="s">
        <v>1165</v>
      </c>
      <c r="CX17" s="462"/>
      <c r="CY17" s="261" t="s">
        <v>1394</v>
      </c>
      <c r="CZ17" s="217">
        <v>14</v>
      </c>
      <c r="DA17" s="267" t="s">
        <v>1372</v>
      </c>
      <c r="DB17" s="217">
        <v>1316.1</v>
      </c>
      <c r="DC17" s="478" t="s">
        <v>1055</v>
      </c>
      <c r="DD17" s="481">
        <v>150</v>
      </c>
      <c r="DE17" s="261" t="s">
        <v>1439</v>
      </c>
      <c r="DF17" s="204">
        <v>19.8</v>
      </c>
      <c r="DG17" s="271" t="s">
        <v>1479</v>
      </c>
      <c r="DH17" s="261">
        <v>132.93</v>
      </c>
      <c r="DI17" s="285" t="s">
        <v>1356</v>
      </c>
      <c r="DJ17" s="261" t="s">
        <v>642</v>
      </c>
      <c r="DK17" s="261" t="s">
        <v>1484</v>
      </c>
      <c r="DM17" s="271" t="s">
        <v>1482</v>
      </c>
      <c r="DN17" s="261">
        <v>18</v>
      </c>
      <c r="DO17" s="218" t="s">
        <v>1494</v>
      </c>
      <c r="DP17" s="472">
        <f>40000+10000+10000</f>
        <v>60000</v>
      </c>
      <c r="DQ17" s="261" t="s">
        <v>1484</v>
      </c>
      <c r="DS17" s="271" t="s">
        <v>1320</v>
      </c>
      <c r="DT17" s="261" t="s">
        <v>686</v>
      </c>
      <c r="DU17" s="218" t="s">
        <v>1495</v>
      </c>
      <c r="DV17" s="472">
        <v>10000</v>
      </c>
      <c r="DW17" s="340" t="s">
        <v>1274</v>
      </c>
      <c r="DX17" s="340">
        <v>12.9</v>
      </c>
      <c r="DY17" s="242" t="s">
        <v>1190</v>
      </c>
      <c r="DZ17" s="340">
        <f>6.5+15</f>
        <v>21.5</v>
      </c>
      <c r="EA17" s="218" t="s">
        <v>1494</v>
      </c>
      <c r="EB17" s="472">
        <v>40000</v>
      </c>
      <c r="EE17" s="242" t="s">
        <v>1190</v>
      </c>
      <c r="EF17" s="340">
        <f>15+6.5+97.5</f>
        <v>119</v>
      </c>
      <c r="EH17" s="285" t="s">
        <v>1562</v>
      </c>
      <c r="EI17" s="318">
        <v>20000</v>
      </c>
      <c r="EJ17" s="340" t="s">
        <v>1274</v>
      </c>
      <c r="EK17" s="340">
        <v>3.9</v>
      </c>
      <c r="EL17" s="242" t="s">
        <v>1650</v>
      </c>
      <c r="EM17" s="340">
        <v>73.87</v>
      </c>
      <c r="EN17" s="285" t="s">
        <v>1631</v>
      </c>
      <c r="EO17" s="318">
        <v>5000</v>
      </c>
      <c r="ER17" s="299" t="s">
        <v>1650</v>
      </c>
      <c r="ES17" s="340">
        <v>78.400000000000006</v>
      </c>
      <c r="ET17" s="285" t="s">
        <v>1564</v>
      </c>
      <c r="EU17" s="318">
        <v>10000</v>
      </c>
      <c r="EX17" s="299" t="s">
        <v>1639</v>
      </c>
      <c r="EY17" s="340">
        <v>72</v>
      </c>
      <c r="EZ17" s="285" t="s">
        <v>1703</v>
      </c>
      <c r="FA17" s="318">
        <v>25000</v>
      </c>
      <c r="FB17" s="340" t="s">
        <v>1762</v>
      </c>
      <c r="FC17" s="340">
        <v>1888</v>
      </c>
      <c r="FD17" s="299" t="s">
        <v>1650</v>
      </c>
      <c r="FE17" s="340">
        <v>81.84</v>
      </c>
      <c r="FF17" s="285" t="s">
        <v>1751</v>
      </c>
      <c r="FG17" s="318">
        <v>25000</v>
      </c>
      <c r="FH17" s="340" t="s">
        <v>1697</v>
      </c>
      <c r="FI17" s="340">
        <f>20057.44-20000</f>
        <v>57.43999999999869</v>
      </c>
      <c r="FJ17" s="299" t="s">
        <v>1810</v>
      </c>
      <c r="FK17" s="340">
        <v>140.44999999999999</v>
      </c>
      <c r="FL17" s="204" t="s">
        <v>1733</v>
      </c>
      <c r="FM17" s="260" t="s">
        <v>1886</v>
      </c>
      <c r="FN17" s="340" t="s">
        <v>1838</v>
      </c>
      <c r="FO17" s="340">
        <v>103</v>
      </c>
      <c r="FP17" s="300" t="s">
        <v>1027</v>
      </c>
      <c r="FQ17" s="308">
        <v>1861.8</v>
      </c>
      <c r="FR17" s="204" t="s">
        <v>1704</v>
      </c>
      <c r="FS17" s="260" t="s">
        <v>1076</v>
      </c>
      <c r="FT17" s="340" t="s">
        <v>1894</v>
      </c>
      <c r="FU17" s="240">
        <v>18.399999999999999</v>
      </c>
      <c r="FV17" s="300" t="s">
        <v>1902</v>
      </c>
      <c r="FW17" s="308">
        <v>29.62</v>
      </c>
      <c r="FX17" s="483" t="s">
        <v>1911</v>
      </c>
      <c r="FZ17" s="340" t="s">
        <v>1793</v>
      </c>
      <c r="GA17" s="340">
        <v>13.32</v>
      </c>
      <c r="GB17" s="310" t="s">
        <v>1932</v>
      </c>
      <c r="GC17" s="340">
        <v>134</v>
      </c>
      <c r="GD17" s="483" t="s">
        <v>1911</v>
      </c>
      <c r="GF17" s="325" t="s">
        <v>423</v>
      </c>
      <c r="GG17" s="340">
        <v>130.44999999999999</v>
      </c>
      <c r="GH17" s="313" t="s">
        <v>1515</v>
      </c>
      <c r="GI17" s="340">
        <v>350</v>
      </c>
      <c r="GJ17" s="285" t="s">
        <v>1620</v>
      </c>
      <c r="GK17" s="340">
        <v>160</v>
      </c>
      <c r="GL17" s="340" t="s">
        <v>1573</v>
      </c>
      <c r="GM17" s="240"/>
      <c r="GN17" s="300" t="s">
        <v>1780</v>
      </c>
      <c r="GO17" s="340">
        <v>29.25</v>
      </c>
      <c r="GP17" s="285" t="s">
        <v>1620</v>
      </c>
      <c r="GQ17" s="340">
        <v>156</v>
      </c>
      <c r="GR17" s="325" t="s">
        <v>423</v>
      </c>
      <c r="GS17" s="340">
        <v>141.44999999999999</v>
      </c>
      <c r="GT17" s="243" t="s">
        <v>2019</v>
      </c>
      <c r="GU17" s="340">
        <v>5</v>
      </c>
      <c r="GV17" s="483" t="s">
        <v>2014</v>
      </c>
      <c r="GY17" s="240"/>
      <c r="GZ17" s="314" t="s">
        <v>2079</v>
      </c>
      <c r="HA17" s="204">
        <f>109.5+145</f>
        <v>254.5</v>
      </c>
      <c r="HB17" s="285" t="s">
        <v>1620</v>
      </c>
      <c r="HC17" s="340">
        <v>90</v>
      </c>
      <c r="HD17" s="340" t="s">
        <v>1573</v>
      </c>
      <c r="HF17" s="313" t="s">
        <v>2093</v>
      </c>
      <c r="HG17" s="340">
        <v>48.24</v>
      </c>
      <c r="HH17" s="483" t="s">
        <v>2014</v>
      </c>
      <c r="HJ17" s="501">
        <v>258.44</v>
      </c>
      <c r="HK17" s="500" t="s">
        <v>2097</v>
      </c>
      <c r="HL17" s="299" t="s">
        <v>1948</v>
      </c>
      <c r="HM17" s="340">
        <f>HK7</f>
        <v>30.001000000000001</v>
      </c>
      <c r="HN17" s="319" t="s">
        <v>2161</v>
      </c>
      <c r="HO17" s="340">
        <v>89</v>
      </c>
      <c r="HP17" s="499"/>
      <c r="HQ17" s="500"/>
      <c r="HR17" s="299" t="s">
        <v>1190</v>
      </c>
      <c r="HS17" s="340">
        <f>6.5+15</f>
        <v>21.5</v>
      </c>
      <c r="HT17" s="319" t="s">
        <v>1872</v>
      </c>
      <c r="HU17" s="340">
        <v>659</v>
      </c>
      <c r="HV17" s="337" t="s">
        <v>2231</v>
      </c>
      <c r="HW17" s="240">
        <v>37.6</v>
      </c>
      <c r="HX17" s="299" t="s">
        <v>1913</v>
      </c>
      <c r="HY17" s="441">
        <v>177.48</v>
      </c>
      <c r="HZ17" s="319" t="s">
        <v>1868</v>
      </c>
      <c r="IA17" s="340">
        <v>311</v>
      </c>
      <c r="IB17" s="504" t="s">
        <v>2263</v>
      </c>
      <c r="IC17" s="323">
        <v>835.6</v>
      </c>
      <c r="ID17" s="243" t="s">
        <v>2307</v>
      </c>
      <c r="IE17" s="441">
        <f>IE18*2</f>
        <v>1833.7466666666667</v>
      </c>
      <c r="IF17" s="319" t="s">
        <v>2292</v>
      </c>
      <c r="IG17" s="259" t="s">
        <v>686</v>
      </c>
      <c r="IH17" s="340" t="s">
        <v>1793</v>
      </c>
      <c r="II17" s="320">
        <v>1.67</v>
      </c>
      <c r="IJ17" s="299" t="s">
        <v>1913</v>
      </c>
      <c r="IK17" s="441" t="s">
        <v>2368</v>
      </c>
      <c r="IL17" s="319" t="s">
        <v>2161</v>
      </c>
      <c r="IM17" s="259">
        <v>4000</v>
      </c>
      <c r="IN17" s="340" t="s">
        <v>2395</v>
      </c>
      <c r="IO17" s="320">
        <f>149.59*2</f>
        <v>299.18</v>
      </c>
      <c r="IP17" s="299" t="s">
        <v>2146</v>
      </c>
      <c r="IQ17" s="202">
        <v>18</v>
      </c>
      <c r="IR17" s="319" t="s">
        <v>2398</v>
      </c>
      <c r="IS17" s="240">
        <v>65005</v>
      </c>
      <c r="IT17" s="340" t="s">
        <v>1793</v>
      </c>
      <c r="IU17" s="340">
        <v>13.86</v>
      </c>
      <c r="IV17" s="299" t="s">
        <v>2134</v>
      </c>
      <c r="IW17" s="340">
        <f>30+59.31</f>
        <v>89.31</v>
      </c>
      <c r="IX17" s="319" t="s">
        <v>2398</v>
      </c>
      <c r="IY17" s="240">
        <v>65005</v>
      </c>
      <c r="IZ17" s="340" t="s">
        <v>2867</v>
      </c>
      <c r="JA17" s="340">
        <f>5.9+2.12</f>
        <v>8.02</v>
      </c>
      <c r="JB17" s="299" t="s">
        <v>2443</v>
      </c>
      <c r="JC17" s="240">
        <f>3175.47/3</f>
        <v>1058.49</v>
      </c>
      <c r="JD17" s="319" t="s">
        <v>2398</v>
      </c>
      <c r="JE17" s="259">
        <v>65005</v>
      </c>
      <c r="JF17" s="499" t="s">
        <v>2585</v>
      </c>
      <c r="JG17" s="340">
        <v>442.61</v>
      </c>
      <c r="JH17" s="299" t="s">
        <v>2553</v>
      </c>
      <c r="JI17" s="202">
        <v>59.36</v>
      </c>
      <c r="JJ17" s="319" t="s">
        <v>2582</v>
      </c>
      <c r="JK17" s="259">
        <f>25000.29+90000.29+140000.29+10000</f>
        <v>265000.87</v>
      </c>
      <c r="JL17" s="340" t="s">
        <v>2877</v>
      </c>
      <c r="JM17" s="202">
        <f>180.39+64.94+57.72</f>
        <v>303.04999999999995</v>
      </c>
      <c r="JN17" s="299" t="s">
        <v>2890</v>
      </c>
      <c r="JO17" s="202">
        <v>30</v>
      </c>
      <c r="JP17" s="483" t="s">
        <v>2638</v>
      </c>
      <c r="JQ17" s="357"/>
      <c r="JR17" s="340" t="s">
        <v>2868</v>
      </c>
      <c r="JS17" s="395">
        <v>2.95</v>
      </c>
      <c r="JT17" s="299" t="s">
        <v>2709</v>
      </c>
      <c r="JU17" s="274">
        <v>131.6</v>
      </c>
      <c r="JV17" s="319" t="s">
        <v>2639</v>
      </c>
      <c r="JW17" s="259">
        <v>0</v>
      </c>
      <c r="JX17" s="217" t="s">
        <v>2740</v>
      </c>
      <c r="JY17" s="395">
        <f>1.29+1.15</f>
        <v>2.44</v>
      </c>
      <c r="JZ17" s="300" t="s">
        <v>2744</v>
      </c>
      <c r="KA17" s="340">
        <f>73.44/2</f>
        <v>36.72</v>
      </c>
      <c r="KB17" s="319" t="s">
        <v>2639</v>
      </c>
      <c r="KC17" s="259">
        <v>0</v>
      </c>
      <c r="KD17" s="340" t="s">
        <v>2783</v>
      </c>
      <c r="KE17" s="395"/>
      <c r="KF17" s="299" t="s">
        <v>2891</v>
      </c>
      <c r="KG17" s="202">
        <v>180</v>
      </c>
      <c r="KH17" s="204" t="s">
        <v>2840</v>
      </c>
      <c r="KI17" s="464">
        <f>686-1000</f>
        <v>-314</v>
      </c>
      <c r="KJ17" s="217" t="s">
        <v>2427</v>
      </c>
      <c r="KK17" s="395">
        <v>7.97</v>
      </c>
      <c r="KL17" s="328" t="s">
        <v>2926</v>
      </c>
      <c r="KM17" s="320">
        <f>1388.33-KM18</f>
        <v>1240.58</v>
      </c>
      <c r="KN17" s="319" t="s">
        <v>2950</v>
      </c>
      <c r="KO17" s="259">
        <v>129000</v>
      </c>
      <c r="KP17" s="204" t="s">
        <v>3004</v>
      </c>
      <c r="KQ17" s="340">
        <f>20000*(1-0.9803)</f>
        <v>394.00000000000102</v>
      </c>
      <c r="KR17" s="243" t="s">
        <v>2961</v>
      </c>
      <c r="KS17" s="320">
        <f>1363.36-KS18</f>
        <v>1223.29</v>
      </c>
      <c r="KT17" s="319" t="s">
        <v>2950</v>
      </c>
      <c r="KU17" s="259">
        <v>199369</v>
      </c>
      <c r="KV17" s="217"/>
      <c r="KW17" s="395"/>
      <c r="KX17" s="254" t="s">
        <v>3085</v>
      </c>
      <c r="KY17" s="610">
        <v>52.42</v>
      </c>
      <c r="KZ17" s="285" t="s">
        <v>2954</v>
      </c>
      <c r="LA17" s="318">
        <v>-143</v>
      </c>
      <c r="LB17" s="217" t="s">
        <v>2967</v>
      </c>
      <c r="LC17" s="395">
        <f>33.25+1.5</f>
        <v>34.75</v>
      </c>
      <c r="LD17" s="300" t="s">
        <v>3047</v>
      </c>
      <c r="LE17" s="617">
        <f>5+1.69</f>
        <v>6.6899999999999995</v>
      </c>
      <c r="LF17" s="655" t="s">
        <v>3150</v>
      </c>
      <c r="LG17" s="259">
        <f>LF18-0.99*195000</f>
        <v>-677</v>
      </c>
      <c r="LH17" s="217"/>
      <c r="LI17" s="395"/>
      <c r="LJ17" s="256" t="s">
        <v>2484</v>
      </c>
      <c r="LK17" s="648">
        <f>88.33+39.69</f>
        <v>128.01999999999998</v>
      </c>
      <c r="LL17" s="648" t="s">
        <v>3150</v>
      </c>
      <c r="LM17" s="259">
        <v>-11827</v>
      </c>
      <c r="LN17" s="677" t="s">
        <v>2796</v>
      </c>
      <c r="LO17" s="395">
        <v>62.000999999999998</v>
      </c>
      <c r="LP17" s="300" t="s">
        <v>3048</v>
      </c>
      <c r="LQ17" s="261">
        <v>20</v>
      </c>
      <c r="LR17" s="680" t="s">
        <v>2954</v>
      </c>
      <c r="LS17" s="318">
        <v>-317</v>
      </c>
      <c r="LT17" s="729" t="s">
        <v>3324</v>
      </c>
      <c r="LV17" s="256" t="s">
        <v>3328</v>
      </c>
      <c r="LW17" s="261"/>
      <c r="LX17" s="732" t="s">
        <v>2954</v>
      </c>
      <c r="LY17" s="318">
        <v>-317</v>
      </c>
      <c r="LZ17" s="460">
        <v>45350</v>
      </c>
    </row>
    <row r="18" spans="1:338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1075</v>
      </c>
      <c r="Z18" s="462">
        <v>100.54</v>
      </c>
      <c r="AC18" s="143" t="s">
        <v>1077</v>
      </c>
      <c r="AD18" s="340">
        <v>104</v>
      </c>
      <c r="AE18" s="218" t="s">
        <v>995</v>
      </c>
      <c r="AF18" s="462"/>
      <c r="AI18" s="143" t="s">
        <v>1049</v>
      </c>
      <c r="AJ18" s="204">
        <v>0</v>
      </c>
      <c r="AK18" s="218" t="s">
        <v>995</v>
      </c>
      <c r="AL18" s="462"/>
      <c r="AM18" s="340" t="s">
        <v>1058</v>
      </c>
      <c r="AO18" s="166" t="s">
        <v>1136</v>
      </c>
      <c r="AP18" s="204">
        <v>378.81</v>
      </c>
      <c r="AQ18" s="218" t="s">
        <v>995</v>
      </c>
      <c r="AR18" s="462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2"/>
      <c r="AY18" s="166"/>
      <c r="AZ18" s="204"/>
      <c r="BA18" s="218" t="s">
        <v>1165</v>
      </c>
      <c r="BB18" s="462">
        <f t="shared" si="0"/>
        <v>0</v>
      </c>
      <c r="BE18" s="242" t="s">
        <v>1123</v>
      </c>
      <c r="BF18" s="204" t="s">
        <v>686</v>
      </c>
      <c r="BG18" s="218" t="s">
        <v>1165</v>
      </c>
      <c r="BH18" s="462"/>
      <c r="BJ18" s="204"/>
      <c r="BK18" s="256" t="s">
        <v>1123</v>
      </c>
      <c r="BL18" s="204">
        <f>172+215</f>
        <v>387</v>
      </c>
      <c r="BM18" s="218" t="s">
        <v>1165</v>
      </c>
      <c r="BN18" s="462"/>
      <c r="BO18" s="204" t="s">
        <v>1230</v>
      </c>
      <c r="BP18" s="204">
        <v>7</v>
      </c>
      <c r="BQ18" s="256" t="s">
        <v>1227</v>
      </c>
      <c r="BR18" s="204">
        <v>172</v>
      </c>
      <c r="BS18" s="218" t="s">
        <v>1165</v>
      </c>
      <c r="BT18" s="377"/>
      <c r="BU18" s="204"/>
      <c r="BV18" s="204"/>
      <c r="BW18" s="256" t="s">
        <v>1250</v>
      </c>
      <c r="BX18" s="204">
        <v>172</v>
      </c>
      <c r="BY18" s="218" t="s">
        <v>1075</v>
      </c>
      <c r="BZ18" s="462">
        <v>1013</v>
      </c>
      <c r="CA18" s="217" t="s">
        <v>1109</v>
      </c>
      <c r="CB18" s="204" t="s">
        <v>686</v>
      </c>
      <c r="CC18" s="256" t="s">
        <v>1267</v>
      </c>
      <c r="CD18" s="204">
        <v>215</v>
      </c>
      <c r="CE18" s="218" t="s">
        <v>1075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1312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2">
        <v>60</v>
      </c>
      <c r="CS18" s="261" t="s">
        <v>1339</v>
      </c>
      <c r="CT18" s="204"/>
      <c r="CU18" s="256" t="s">
        <v>1026</v>
      </c>
      <c r="CV18" s="204" t="s">
        <v>686</v>
      </c>
      <c r="CW18" s="218" t="s">
        <v>1075</v>
      </c>
      <c r="CX18" s="462">
        <v>60</v>
      </c>
      <c r="CY18" s="204" t="s">
        <v>578</v>
      </c>
      <c r="DA18" s="256" t="s">
        <v>1388</v>
      </c>
      <c r="DB18" s="204">
        <v>115.81</v>
      </c>
      <c r="DC18" s="218" t="s">
        <v>1165</v>
      </c>
      <c r="DD18" s="462"/>
      <c r="DE18" s="261" t="s">
        <v>1440</v>
      </c>
      <c r="DF18" s="204">
        <v>57.6</v>
      </c>
      <c r="DG18" s="271" t="s">
        <v>1409</v>
      </c>
      <c r="DH18" s="261">
        <v>2000</v>
      </c>
      <c r="DI18" s="781" t="s">
        <v>1469</v>
      </c>
      <c r="DJ18" s="782"/>
      <c r="DK18" s="261"/>
      <c r="DM18" s="271" t="s">
        <v>1320</v>
      </c>
      <c r="DN18" s="261"/>
      <c r="DO18" s="218" t="s">
        <v>1493</v>
      </c>
      <c r="DP18" s="472">
        <v>10000</v>
      </c>
      <c r="DQ18" s="261"/>
      <c r="DS18" s="270" t="s">
        <v>1565</v>
      </c>
      <c r="DT18" s="274">
        <v>382</v>
      </c>
      <c r="DU18" s="218" t="s">
        <v>1494</v>
      </c>
      <c r="DV18" s="472">
        <v>40000</v>
      </c>
      <c r="DY18" s="242" t="s">
        <v>1281</v>
      </c>
      <c r="DZ18" s="340">
        <v>140.94999999999999</v>
      </c>
      <c r="EA18" s="218" t="s">
        <v>1562</v>
      </c>
      <c r="EB18" s="472">
        <v>10000</v>
      </c>
      <c r="EE18" s="242" t="s">
        <v>1281</v>
      </c>
      <c r="EF18" s="340">
        <v>140.44999999999999</v>
      </c>
      <c r="EH18" s="285" t="s">
        <v>1492</v>
      </c>
      <c r="EI18" s="318">
        <v>10000</v>
      </c>
      <c r="EJ18" s="340" t="s">
        <v>1274</v>
      </c>
      <c r="EK18" s="340">
        <v>28.7</v>
      </c>
      <c r="EL18" s="242" t="s">
        <v>1639</v>
      </c>
      <c r="EM18" s="340">
        <f>34.42+10.73</f>
        <v>45.150000000000006</v>
      </c>
      <c r="EN18" s="285" t="s">
        <v>1632</v>
      </c>
      <c r="EO18" s="318">
        <v>5000</v>
      </c>
      <c r="ER18" s="299" t="s">
        <v>1639</v>
      </c>
      <c r="ES18" s="340">
        <v>0</v>
      </c>
      <c r="ET18" s="285" t="s">
        <v>1692</v>
      </c>
      <c r="EU18" s="318">
        <v>5000</v>
      </c>
      <c r="EV18" s="197" t="s">
        <v>1574</v>
      </c>
      <c r="EX18" s="299" t="s">
        <v>1190</v>
      </c>
      <c r="EY18" s="340">
        <f>15+6.5</f>
        <v>21.5</v>
      </c>
      <c r="EZ18" s="285" t="s">
        <v>1564</v>
      </c>
      <c r="FA18" s="318">
        <v>15000</v>
      </c>
      <c r="FB18" s="197" t="s">
        <v>1574</v>
      </c>
      <c r="FD18" s="299" t="s">
        <v>1769</v>
      </c>
      <c r="FE18" s="340">
        <v>139.01</v>
      </c>
      <c r="FF18" s="285" t="s">
        <v>1564</v>
      </c>
      <c r="FG18" s="318">
        <v>15000</v>
      </c>
      <c r="FH18" s="204" t="s">
        <v>1465</v>
      </c>
      <c r="FI18" s="244">
        <f>1021.65+992.81-2000</f>
        <v>14.460000000000036</v>
      </c>
      <c r="FJ18" s="299" t="s">
        <v>1190</v>
      </c>
      <c r="FK18" s="340">
        <f>6.5+15+7.2</f>
        <v>28.7</v>
      </c>
      <c r="FL18" s="285" t="s">
        <v>1699</v>
      </c>
      <c r="FM18" s="318">
        <v>4000</v>
      </c>
      <c r="FN18" s="340" t="s">
        <v>1846</v>
      </c>
      <c r="FO18" s="240">
        <v>55</v>
      </c>
      <c r="FP18" s="299" t="s">
        <v>1835</v>
      </c>
      <c r="FQ18" s="340">
        <v>184.77</v>
      </c>
      <c r="FR18" s="204" t="s">
        <v>1887</v>
      </c>
      <c r="FS18" s="260"/>
      <c r="FU18" s="240"/>
      <c r="FV18" s="299" t="s">
        <v>1904</v>
      </c>
      <c r="FW18" s="340">
        <f>3.08+89.15</f>
        <v>92.23</v>
      </c>
      <c r="FX18" s="285" t="s">
        <v>1891</v>
      </c>
      <c r="FY18" s="483">
        <v>748</v>
      </c>
      <c r="GB18" s="300" t="s">
        <v>1857</v>
      </c>
      <c r="GD18" s="285" t="s">
        <v>1891</v>
      </c>
      <c r="GE18" s="483">
        <v>856</v>
      </c>
      <c r="GF18" s="340" t="s">
        <v>1793</v>
      </c>
      <c r="GG18" s="340" t="s">
        <v>686</v>
      </c>
      <c r="GH18" s="300" t="s">
        <v>1432</v>
      </c>
      <c r="GI18" s="340">
        <v>3.87</v>
      </c>
      <c r="GJ18" s="474" t="s">
        <v>1963</v>
      </c>
      <c r="GK18" s="340">
        <v>1200</v>
      </c>
      <c r="GM18" s="240"/>
      <c r="GN18" s="300" t="s">
        <v>2006</v>
      </c>
      <c r="GO18" s="340">
        <v>54.38</v>
      </c>
      <c r="GP18" s="483" t="s">
        <v>2011</v>
      </c>
      <c r="GR18" s="340" t="s">
        <v>1793</v>
      </c>
      <c r="GS18" s="340">
        <v>13.53</v>
      </c>
      <c r="GT18" s="299" t="s">
        <v>1989</v>
      </c>
      <c r="GU18" s="340">
        <v>67.42</v>
      </c>
      <c r="GV18" s="474" t="s">
        <v>1963</v>
      </c>
      <c r="GW18" s="340">
        <v>1001</v>
      </c>
      <c r="GX18" s="197"/>
      <c r="GZ18" s="299" t="s">
        <v>2033</v>
      </c>
      <c r="HA18" s="441">
        <f>2525.92/6</f>
        <v>420.98666666666668</v>
      </c>
      <c r="HB18" s="483" t="s">
        <v>2014</v>
      </c>
      <c r="HD18" s="340" t="s">
        <v>2102</v>
      </c>
      <c r="HE18" s="340">
        <f>1.25*3</f>
        <v>3.75</v>
      </c>
      <c r="HF18" s="300" t="s">
        <v>2082</v>
      </c>
      <c r="HG18" s="340">
        <v>33</v>
      </c>
      <c r="HH18" s="474" t="s">
        <v>1963</v>
      </c>
      <c r="HI18" s="340">
        <v>2041</v>
      </c>
      <c r="HJ18" s="501">
        <v>23.05</v>
      </c>
      <c r="HK18" s="500" t="s">
        <v>2097</v>
      </c>
      <c r="HL18" s="299" t="s">
        <v>1949</v>
      </c>
      <c r="HM18" s="505">
        <f>15.88+15.81+18.55+16.76+17.32+18.76</f>
        <v>103.08</v>
      </c>
      <c r="HN18" s="285" t="s">
        <v>1620</v>
      </c>
      <c r="HO18" s="340">
        <v>150</v>
      </c>
      <c r="HP18" s="506"/>
      <c r="HQ18" s="507"/>
      <c r="HR18" s="299" t="s">
        <v>2146</v>
      </c>
      <c r="HS18" s="340">
        <f>9+10.96</f>
        <v>19.96</v>
      </c>
      <c r="HT18" s="319" t="s">
        <v>1868</v>
      </c>
      <c r="HU18" s="340">
        <v>457</v>
      </c>
      <c r="HV18" s="499" t="s">
        <v>2233</v>
      </c>
      <c r="HW18" s="327">
        <f>18.8*3+56.4</f>
        <v>112.80000000000001</v>
      </c>
      <c r="HX18" s="299" t="s">
        <v>2135</v>
      </c>
      <c r="HY18" s="340">
        <v>96.35</v>
      </c>
      <c r="HZ18" s="319" t="s">
        <v>2161</v>
      </c>
      <c r="IA18" s="340">
        <v>0</v>
      </c>
      <c r="IB18" s="508" t="s">
        <v>2260</v>
      </c>
      <c r="IC18" s="323">
        <f>20.89*3</f>
        <v>62.67</v>
      </c>
      <c r="ID18" s="299" t="s">
        <v>2033</v>
      </c>
      <c r="IE18" s="441">
        <f>2750.62/3</f>
        <v>916.87333333333333</v>
      </c>
      <c r="IF18" s="319" t="s">
        <v>2212</v>
      </c>
      <c r="IG18" s="259">
        <v>295021.18</v>
      </c>
      <c r="IH18" s="340" t="s">
        <v>2382</v>
      </c>
      <c r="II18" s="320">
        <v>17.73</v>
      </c>
      <c r="IJ18" s="299" t="s">
        <v>2134</v>
      </c>
      <c r="IK18" s="340" t="s">
        <v>2368</v>
      </c>
      <c r="IL18" s="483" t="s">
        <v>2350</v>
      </c>
      <c r="IM18" s="259">
        <f>100*(120+1000+330+310)</f>
        <v>176000</v>
      </c>
      <c r="IN18" s="340" t="s">
        <v>2867</v>
      </c>
      <c r="IO18" s="340">
        <v>3</v>
      </c>
      <c r="IP18" s="299" t="s">
        <v>2394</v>
      </c>
      <c r="IQ18" s="202">
        <v>42.65</v>
      </c>
      <c r="IR18" s="319" t="s">
        <v>2867</v>
      </c>
      <c r="IS18" s="259">
        <v>1143</v>
      </c>
      <c r="IT18" s="340" t="s">
        <v>2628</v>
      </c>
      <c r="IU18" s="320">
        <v>14</v>
      </c>
      <c r="IV18" s="299" t="s">
        <v>2504</v>
      </c>
      <c r="IW18" s="274">
        <v>110.02</v>
      </c>
      <c r="IX18" s="319" t="s">
        <v>2896</v>
      </c>
      <c r="IY18" s="357">
        <v>4175</v>
      </c>
      <c r="IZ18" s="499"/>
      <c r="JA18" s="327"/>
      <c r="JB18" s="299" t="s">
        <v>2497</v>
      </c>
      <c r="JC18" s="202">
        <v>110.79</v>
      </c>
      <c r="JD18" s="319" t="s">
        <v>2875</v>
      </c>
      <c r="JE18" s="357">
        <v>3083</v>
      </c>
      <c r="JF18" s="499"/>
      <c r="JG18" s="327"/>
      <c r="JH18" s="299" t="s">
        <v>2870</v>
      </c>
      <c r="JI18" s="202">
        <v>30</v>
      </c>
      <c r="JJ18" s="319" t="s">
        <v>2875</v>
      </c>
      <c r="JK18" s="259">
        <v>99936</v>
      </c>
      <c r="JL18" s="499" t="s">
        <v>2659</v>
      </c>
      <c r="JM18" s="327">
        <f>228.82+344.82+65.55+23.84</f>
        <v>663.03</v>
      </c>
      <c r="JN18" s="299" t="s">
        <v>2502</v>
      </c>
      <c r="JO18" s="274">
        <v>157.54</v>
      </c>
      <c r="JP18" s="319" t="s">
        <v>2639</v>
      </c>
      <c r="JQ18" s="259">
        <v>0</v>
      </c>
      <c r="JR18" s="509" t="s">
        <v>2876</v>
      </c>
      <c r="JS18" s="510">
        <f>28.96</f>
        <v>28.96</v>
      </c>
      <c r="JT18" s="299" t="s">
        <v>1190</v>
      </c>
      <c r="JU18" s="202">
        <f>15+6.5</f>
        <v>21.5</v>
      </c>
      <c r="JV18" s="319" t="s">
        <v>2552</v>
      </c>
      <c r="JW18" s="259">
        <v>15</v>
      </c>
      <c r="JX18" s="217" t="s">
        <v>2725</v>
      </c>
      <c r="JY18" s="395">
        <f>65.16+2.55</f>
        <v>67.709999999999994</v>
      </c>
      <c r="JZ18" s="300" t="s">
        <v>2787</v>
      </c>
      <c r="KA18" s="202">
        <v>5.01</v>
      </c>
      <c r="KB18" s="319" t="s">
        <v>2552</v>
      </c>
      <c r="KC18" s="259">
        <v>14</v>
      </c>
      <c r="KD18" s="217" t="s">
        <v>2725</v>
      </c>
      <c r="KE18" s="395">
        <v>92.26</v>
      </c>
      <c r="KF18" s="299" t="s">
        <v>2693</v>
      </c>
      <c r="KG18" s="202">
        <v>10.8</v>
      </c>
      <c r="KH18" s="204" t="s">
        <v>2850</v>
      </c>
      <c r="KI18" s="464"/>
      <c r="KJ18" s="217" t="s">
        <v>2902</v>
      </c>
      <c r="KK18" s="395">
        <v>12.01</v>
      </c>
      <c r="KL18" s="444" t="s">
        <v>2932</v>
      </c>
      <c r="KM18" s="326">
        <v>147.75</v>
      </c>
      <c r="KN18" s="325" t="s">
        <v>2839</v>
      </c>
      <c r="KO18" s="357"/>
      <c r="KP18" s="217" t="s">
        <v>2986</v>
      </c>
      <c r="KQ18" s="327">
        <v>939.02</v>
      </c>
      <c r="KR18" s="143" t="s">
        <v>2962</v>
      </c>
      <c r="KS18" s="326">
        <v>140.07</v>
      </c>
      <c r="KT18" s="325" t="s">
        <v>2839</v>
      </c>
      <c r="KU18" s="357"/>
      <c r="KV18" s="340" t="s">
        <v>2783</v>
      </c>
      <c r="KW18" s="395"/>
      <c r="KX18" s="254" t="s">
        <v>3094</v>
      </c>
      <c r="KY18" s="606">
        <v>32</v>
      </c>
      <c r="KZ18" s="549" t="s">
        <v>3036</v>
      </c>
      <c r="LA18" s="464">
        <v>-78.540000000000006</v>
      </c>
      <c r="LB18" s="617" t="s">
        <v>3097</v>
      </c>
      <c r="LC18" s="616">
        <v>32.479999999999997</v>
      </c>
      <c r="LD18" s="254" t="s">
        <v>3106</v>
      </c>
      <c r="LE18" s="628">
        <v>51.99</v>
      </c>
      <c r="LF18" s="440">
        <v>192373</v>
      </c>
      <c r="LG18" s="724" t="s">
        <v>3298</v>
      </c>
      <c r="LH18" s="647" t="s">
        <v>2783</v>
      </c>
      <c r="LI18" s="395"/>
      <c r="LJ18" s="256" t="s">
        <v>3176</v>
      </c>
      <c r="LK18" s="670">
        <v>66</v>
      </c>
      <c r="LL18" s="440">
        <v>176526</v>
      </c>
      <c r="LM18" s="724" t="s">
        <v>3298</v>
      </c>
      <c r="LN18" s="678" t="s">
        <v>3234</v>
      </c>
      <c r="LO18" s="395">
        <v>164.85</v>
      </c>
      <c r="LP18" s="256" t="s">
        <v>2484</v>
      </c>
      <c r="LQ18" s="261">
        <v>112.57</v>
      </c>
      <c r="LR18" s="678" t="s">
        <v>3150</v>
      </c>
      <c r="LS18" s="259">
        <f>LR19-0.99*195000</f>
        <v>-216</v>
      </c>
      <c r="LT18" s="728" t="s">
        <v>1793</v>
      </c>
      <c r="LU18" s="395"/>
      <c r="LV18" s="256" t="s">
        <v>3328</v>
      </c>
      <c r="LW18" s="261"/>
      <c r="LX18" s="729" t="s">
        <v>3150</v>
      </c>
      <c r="LY18" s="259">
        <f>LX19-0.99*195000</f>
        <v>-216</v>
      </c>
    </row>
    <row r="19" spans="1:338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1042</v>
      </c>
      <c r="T19" s="462">
        <v>550</v>
      </c>
      <c r="W19" s="166" t="s">
        <v>1053</v>
      </c>
      <c r="Y19" s="218" t="s">
        <v>996</v>
      </c>
      <c r="Z19" s="462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2">
        <v>10001</v>
      </c>
      <c r="AI19" s="143" t="s">
        <v>1097</v>
      </c>
      <c r="AJ19" s="204">
        <v>56</v>
      </c>
      <c r="AK19" s="218" t="s">
        <v>1075</v>
      </c>
      <c r="AL19" s="462" t="s">
        <v>1076</v>
      </c>
      <c r="AM19" s="397"/>
      <c r="AO19" s="166" t="s">
        <v>1137</v>
      </c>
      <c r="AP19" s="204">
        <v>146</v>
      </c>
      <c r="AQ19" s="218" t="s">
        <v>1075</v>
      </c>
      <c r="AR19" s="462">
        <f>AN21</f>
        <v>2200</v>
      </c>
      <c r="AU19" s="166" t="s">
        <v>1149</v>
      </c>
      <c r="AV19" s="204">
        <v>42.53</v>
      </c>
      <c r="AW19" s="218" t="s">
        <v>1075</v>
      </c>
      <c r="AX19" s="462">
        <f>10000+2200</f>
        <v>12200</v>
      </c>
      <c r="AY19" s="166"/>
      <c r="AZ19" s="204"/>
      <c r="BA19" s="218" t="s">
        <v>1075</v>
      </c>
      <c r="BB19" s="462">
        <f t="shared" si="0"/>
        <v>12200</v>
      </c>
      <c r="BC19" s="340" t="s">
        <v>1183</v>
      </c>
      <c r="BE19" s="242" t="s">
        <v>1151</v>
      </c>
      <c r="BF19" s="204">
        <v>325.27999999999997</v>
      </c>
      <c r="BG19" s="218" t="s">
        <v>1075</v>
      </c>
      <c r="BH19" s="462">
        <v>10000</v>
      </c>
      <c r="BK19" s="256" t="s">
        <v>1151</v>
      </c>
      <c r="BL19" s="217" t="s">
        <v>686</v>
      </c>
      <c r="BM19" s="218" t="s">
        <v>1075</v>
      </c>
      <c r="BN19" s="462">
        <v>10000</v>
      </c>
      <c r="BO19" s="204" t="s">
        <v>1230</v>
      </c>
      <c r="BP19" s="217">
        <v>7</v>
      </c>
      <c r="BQ19" s="256" t="s">
        <v>1234</v>
      </c>
      <c r="BR19" s="217">
        <v>280</v>
      </c>
      <c r="BS19" s="218" t="s">
        <v>1075</v>
      </c>
      <c r="BT19" s="377">
        <v>7025</v>
      </c>
      <c r="BU19" s="204"/>
      <c r="BW19" s="256" t="s">
        <v>1151</v>
      </c>
      <c r="BX19" s="217" t="s">
        <v>686</v>
      </c>
      <c r="BY19" s="218" t="s">
        <v>996</v>
      </c>
      <c r="BZ19" s="462">
        <v>7142</v>
      </c>
      <c r="CA19" s="204"/>
      <c r="CC19" s="256" t="s">
        <v>1151</v>
      </c>
      <c r="CD19" s="217" t="s">
        <v>1299</v>
      </c>
      <c r="CE19" s="218" t="s">
        <v>996</v>
      </c>
      <c r="CF19" s="462">
        <v>11142</v>
      </c>
      <c r="CG19" s="261"/>
      <c r="CI19" s="256" t="s">
        <v>1296</v>
      </c>
      <c r="CJ19" s="204">
        <v>172</v>
      </c>
      <c r="CK19" s="218" t="s">
        <v>1042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1058</v>
      </c>
      <c r="CT19" s="204" t="s">
        <v>686</v>
      </c>
      <c r="CU19" s="257" t="s">
        <v>1358</v>
      </c>
      <c r="CV19" s="204">
        <v>70.38</v>
      </c>
      <c r="CW19" s="218" t="s">
        <v>1043</v>
      </c>
      <c r="CX19" s="462">
        <v>17242.32</v>
      </c>
      <c r="CY19" s="261"/>
      <c r="CZ19" s="204"/>
      <c r="DA19" s="256" t="s">
        <v>1390</v>
      </c>
      <c r="DB19" s="204">
        <v>51.41</v>
      </c>
      <c r="DC19" s="218" t="s">
        <v>1075</v>
      </c>
      <c r="DD19" s="462">
        <v>60</v>
      </c>
      <c r="DE19" s="261" t="s">
        <v>1412</v>
      </c>
      <c r="DF19" s="217">
        <v>192.6</v>
      </c>
      <c r="DG19" s="271" t="s">
        <v>1002</v>
      </c>
      <c r="DH19" s="274">
        <v>1800.01</v>
      </c>
      <c r="DI19" s="218" t="s">
        <v>1442</v>
      </c>
      <c r="DJ19" s="377">
        <v>2065</v>
      </c>
      <c r="DM19" s="270" t="s">
        <v>1498</v>
      </c>
      <c r="DN19" s="274">
        <v>2454.0500000000002</v>
      </c>
      <c r="DO19" s="218" t="s">
        <v>1492</v>
      </c>
      <c r="DP19" s="472">
        <v>10000</v>
      </c>
      <c r="DS19" s="256" t="s">
        <v>1332</v>
      </c>
      <c r="DT19" s="261" t="s">
        <v>1559</v>
      </c>
      <c r="DU19" s="218" t="s">
        <v>1562</v>
      </c>
      <c r="DV19" s="472">
        <v>10000</v>
      </c>
      <c r="DY19" s="242" t="s">
        <v>1602</v>
      </c>
      <c r="DZ19" s="340">
        <v>11</v>
      </c>
      <c r="EA19" s="218" t="s">
        <v>1492</v>
      </c>
      <c r="EB19" s="472">
        <v>10000</v>
      </c>
      <c r="EC19" s="197" t="s">
        <v>1574</v>
      </c>
      <c r="ED19" s="340" t="s">
        <v>686</v>
      </c>
      <c r="EE19" s="242" t="s">
        <v>1602</v>
      </c>
      <c r="EF19" s="340">
        <v>11</v>
      </c>
      <c r="EH19" s="285" t="s">
        <v>1464</v>
      </c>
      <c r="EI19" s="318">
        <v>5000</v>
      </c>
      <c r="EL19" s="242" t="s">
        <v>1190</v>
      </c>
      <c r="EM19" s="340">
        <f>15+6.5</f>
        <v>21.5</v>
      </c>
      <c r="EN19" s="285" t="s">
        <v>1633</v>
      </c>
      <c r="EO19" s="318">
        <f>5000+2000</f>
        <v>7000</v>
      </c>
      <c r="ER19" s="299" t="s">
        <v>1190</v>
      </c>
      <c r="ES19" s="340">
        <f>15+6.5</f>
        <v>21.5</v>
      </c>
      <c r="ET19" s="285" t="s">
        <v>1692</v>
      </c>
      <c r="EU19" s="318">
        <v>5000</v>
      </c>
      <c r="EV19" s="204" t="s">
        <v>1562</v>
      </c>
      <c r="EW19" s="340">
        <v>39.85</v>
      </c>
      <c r="EX19" s="299" t="s">
        <v>1281</v>
      </c>
      <c r="EY19" s="340">
        <v>145.44999999999999</v>
      </c>
      <c r="EZ19" s="285" t="s">
        <v>1692</v>
      </c>
      <c r="FA19" s="318">
        <v>0</v>
      </c>
      <c r="FB19" s="197" t="s">
        <v>1781</v>
      </c>
      <c r="FC19" s="340">
        <v>30</v>
      </c>
      <c r="FD19" s="299" t="s">
        <v>1755</v>
      </c>
      <c r="FE19" s="340">
        <f>6.5+15</f>
        <v>21.5</v>
      </c>
      <c r="FF19" s="285" t="s">
        <v>1692</v>
      </c>
      <c r="FG19" s="318">
        <v>1000</v>
      </c>
      <c r="FH19" s="204" t="s">
        <v>1792</v>
      </c>
      <c r="FI19" s="244">
        <v>7.64</v>
      </c>
      <c r="FJ19" s="299" t="s">
        <v>1532</v>
      </c>
      <c r="FK19" s="340">
        <v>64</v>
      </c>
      <c r="FL19" s="285" t="s">
        <v>1751</v>
      </c>
      <c r="FM19" s="318">
        <v>25000</v>
      </c>
      <c r="FN19" s="197" t="s">
        <v>1574</v>
      </c>
      <c r="FP19" s="299" t="s">
        <v>1810</v>
      </c>
      <c r="FQ19" s="340">
        <v>140.44999999999999</v>
      </c>
      <c r="FR19" s="285" t="s">
        <v>1699</v>
      </c>
      <c r="FS19" s="318">
        <v>4000</v>
      </c>
      <c r="FT19" s="197" t="s">
        <v>1878</v>
      </c>
      <c r="FV19" s="299" t="s">
        <v>1810</v>
      </c>
      <c r="FW19" s="340">
        <v>140.44999999999999</v>
      </c>
      <c r="FX19" s="285" t="s">
        <v>1892</v>
      </c>
      <c r="FY19" s="483">
        <v>39</v>
      </c>
      <c r="FZ19" s="197" t="s">
        <v>1877</v>
      </c>
      <c r="GB19" s="299" t="s">
        <v>1913</v>
      </c>
      <c r="GC19" s="340">
        <v>90.65</v>
      </c>
      <c r="GD19" s="285" t="s">
        <v>1892</v>
      </c>
      <c r="GE19" s="483">
        <v>33</v>
      </c>
      <c r="GH19" s="299" t="s">
        <v>1913</v>
      </c>
      <c r="GI19" s="340">
        <v>73.959999999999994</v>
      </c>
      <c r="GJ19" s="483" t="s">
        <v>1966</v>
      </c>
      <c r="GL19" s="197" t="s">
        <v>1965</v>
      </c>
      <c r="GN19" s="300" t="s">
        <v>1980</v>
      </c>
      <c r="GO19" s="340">
        <v>1867</v>
      </c>
      <c r="GP19" s="474" t="s">
        <v>1963</v>
      </c>
      <c r="GQ19" s="340">
        <v>2000.001</v>
      </c>
      <c r="GR19" s="340" t="s">
        <v>2039</v>
      </c>
      <c r="GS19" s="340">
        <v>1.1000000000000001</v>
      </c>
      <c r="GT19" s="299" t="s">
        <v>2067</v>
      </c>
      <c r="GU19" s="340" t="s">
        <v>2017</v>
      </c>
      <c r="GV19" s="285" t="s">
        <v>1891</v>
      </c>
      <c r="GW19" s="483">
        <v>745</v>
      </c>
      <c r="GZ19" s="299" t="s">
        <v>2064</v>
      </c>
      <c r="HA19" s="340">
        <v>77.3</v>
      </c>
      <c r="HB19" s="474" t="s">
        <v>1963</v>
      </c>
      <c r="HC19" s="340">
        <v>2041</v>
      </c>
      <c r="HD19" s="340" t="s">
        <v>2112</v>
      </c>
      <c r="HE19" s="340">
        <v>106.89</v>
      </c>
      <c r="HF19" s="300" t="s">
        <v>2084</v>
      </c>
      <c r="HG19" s="340">
        <v>12</v>
      </c>
      <c r="HH19" s="285" t="s">
        <v>2087</v>
      </c>
      <c r="HI19" s="483" t="s">
        <v>2088</v>
      </c>
      <c r="HJ19" s="511">
        <v>1580.64</v>
      </c>
      <c r="HK19" s="507" t="s">
        <v>2110</v>
      </c>
      <c r="HL19" s="297" t="s">
        <v>2151</v>
      </c>
      <c r="HM19" s="340">
        <v>20</v>
      </c>
      <c r="HN19" s="483" t="s">
        <v>2014</v>
      </c>
      <c r="HR19" s="299" t="s">
        <v>2189</v>
      </c>
      <c r="HS19" s="340">
        <v>160</v>
      </c>
      <c r="HT19" s="319" t="s">
        <v>2161</v>
      </c>
      <c r="HU19" s="340">
        <v>0</v>
      </c>
      <c r="HV19" s="499" t="s">
        <v>2232</v>
      </c>
      <c r="HW19" s="327">
        <v>18.8</v>
      </c>
      <c r="HX19" s="299" t="s">
        <v>1810</v>
      </c>
      <c r="HY19" s="340">
        <v>112.57</v>
      </c>
      <c r="HZ19" s="319" t="s">
        <v>2258</v>
      </c>
      <c r="IA19" s="340">
        <v>12000</v>
      </c>
      <c r="IB19" s="504" t="s">
        <v>2261</v>
      </c>
      <c r="IC19" s="323">
        <v>146.22999999999999</v>
      </c>
      <c r="ID19" s="299" t="s">
        <v>1913</v>
      </c>
      <c r="IE19" s="441">
        <v>16.18</v>
      </c>
      <c r="IF19" s="319" t="s">
        <v>2874</v>
      </c>
      <c r="IG19" s="259">
        <v>2234</v>
      </c>
      <c r="IH19" s="340" t="s">
        <v>2322</v>
      </c>
      <c r="II19" s="320">
        <v>35.67</v>
      </c>
      <c r="IJ19" s="299" t="s">
        <v>2275</v>
      </c>
      <c r="IK19" s="340">
        <v>114.44</v>
      </c>
      <c r="IL19" s="319" t="s">
        <v>2349</v>
      </c>
      <c r="IM19" s="340">
        <f>10502+14002</f>
        <v>24504</v>
      </c>
      <c r="IN19" s="340" t="s">
        <v>2628</v>
      </c>
      <c r="IO19" s="320">
        <v>5</v>
      </c>
      <c r="IP19" s="299" t="s">
        <v>2431</v>
      </c>
      <c r="IQ19" s="202">
        <f>IM29</f>
        <v>21.35</v>
      </c>
      <c r="IR19" s="285" t="s">
        <v>2385</v>
      </c>
      <c r="IS19" s="340">
        <v>170</v>
      </c>
      <c r="IT19" s="506" t="s">
        <v>2506</v>
      </c>
      <c r="IU19" s="327">
        <v>6</v>
      </c>
      <c r="IV19" s="299" t="s">
        <v>2146</v>
      </c>
      <c r="IW19" s="202">
        <f>9</f>
        <v>9</v>
      </c>
      <c r="IX19" s="319" t="s">
        <v>2500</v>
      </c>
      <c r="IY19" s="259">
        <v>10</v>
      </c>
      <c r="JB19" s="299" t="s">
        <v>2568</v>
      </c>
      <c r="JC19" s="202">
        <v>109.57</v>
      </c>
      <c r="JD19" s="319" t="s">
        <v>2539</v>
      </c>
      <c r="JE19" s="259">
        <v>0</v>
      </c>
      <c r="JH19" s="299" t="s">
        <v>2502</v>
      </c>
      <c r="JI19" s="274">
        <v>115.37</v>
      </c>
      <c r="JJ19" s="319" t="s">
        <v>2539</v>
      </c>
      <c r="JK19" s="259">
        <v>0</v>
      </c>
      <c r="JL19" s="340" t="s">
        <v>2656</v>
      </c>
      <c r="JM19" s="340">
        <v>2</v>
      </c>
      <c r="JN19" s="299" t="s">
        <v>1190</v>
      </c>
      <c r="JO19" s="202">
        <f>15+6.5+30</f>
        <v>51.5</v>
      </c>
      <c r="JP19" s="319" t="s">
        <v>2552</v>
      </c>
      <c r="JQ19" s="259">
        <v>14</v>
      </c>
      <c r="JR19" s="220" t="s">
        <v>2877</v>
      </c>
      <c r="JS19" s="512">
        <f>183.29+65.98+58.65</f>
        <v>307.91999999999996</v>
      </c>
      <c r="JT19" s="299" t="s">
        <v>2643</v>
      </c>
      <c r="JU19" s="202">
        <f>9+14.32</f>
        <v>23.32</v>
      </c>
      <c r="JV19" s="285" t="s">
        <v>2549</v>
      </c>
      <c r="JW19" s="259">
        <v>240</v>
      </c>
      <c r="JX19" s="217" t="s">
        <v>2785</v>
      </c>
      <c r="JY19" s="395">
        <v>24.55</v>
      </c>
      <c r="JZ19" s="300" t="s">
        <v>2788</v>
      </c>
      <c r="KA19" s="340">
        <v>10.87</v>
      </c>
      <c r="KB19" s="285" t="s">
        <v>2549</v>
      </c>
      <c r="KC19" s="259">
        <v>220</v>
      </c>
      <c r="KD19" s="217" t="s">
        <v>2786</v>
      </c>
      <c r="KE19" s="395">
        <v>31.03</v>
      </c>
      <c r="KF19" s="299" t="s">
        <v>2303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2877</v>
      </c>
      <c r="KK19" s="395">
        <f>135.77+48.88+27.16</f>
        <v>211.81</v>
      </c>
      <c r="KL19" s="143" t="s">
        <v>2927</v>
      </c>
      <c r="KM19" s="326">
        <f>1413.64/10</f>
        <v>141.364</v>
      </c>
      <c r="KN19" s="285" t="s">
        <v>2953</v>
      </c>
      <c r="KO19" s="341">
        <v>-114.8</v>
      </c>
      <c r="KP19" s="217" t="s">
        <v>2968</v>
      </c>
      <c r="KQ19" s="327">
        <v>14.02</v>
      </c>
      <c r="KR19" s="143" t="s">
        <v>2999</v>
      </c>
      <c r="KS19" s="286">
        <v>170.22</v>
      </c>
      <c r="KT19" s="285" t="s">
        <v>2954</v>
      </c>
      <c r="KU19" s="318">
        <v>-479</v>
      </c>
      <c r="KV19" s="285" t="s">
        <v>3028</v>
      </c>
      <c r="KW19" s="395">
        <f>212.33+76.44+67.94</f>
        <v>356.71</v>
      </c>
      <c r="KX19" s="254" t="s">
        <v>3086</v>
      </c>
      <c r="KY19" s="610">
        <f>466.26+15.92</f>
        <v>482.18</v>
      </c>
      <c r="KZ19" s="204" t="s">
        <v>3008</v>
      </c>
      <c r="LA19" s="259">
        <f>KZ20-0.99*195000</f>
        <v>-1722</v>
      </c>
      <c r="LB19" s="617" t="s">
        <v>3096</v>
      </c>
      <c r="LC19" s="616">
        <v>21.18</v>
      </c>
      <c r="LD19" s="254" t="s">
        <v>3118</v>
      </c>
      <c r="LE19" s="636">
        <v>83.17</v>
      </c>
      <c r="LF19" s="617" t="s">
        <v>2634</v>
      </c>
      <c r="LG19" s="175">
        <v>2600</v>
      </c>
      <c r="LH19" s="650" t="s">
        <v>3193</v>
      </c>
      <c r="LI19" s="395">
        <f>212+76+43</f>
        <v>331</v>
      </c>
      <c r="LJ19" s="256" t="s">
        <v>3178</v>
      </c>
      <c r="LK19" s="629">
        <v>491.7</v>
      </c>
      <c r="LL19" s="648" t="s">
        <v>2634</v>
      </c>
      <c r="LM19" s="259">
        <v>2600</v>
      </c>
      <c r="LN19" s="678" t="s">
        <v>3049</v>
      </c>
      <c r="LO19" s="395">
        <v>3</v>
      </c>
      <c r="LP19" s="256" t="s">
        <v>1964</v>
      </c>
      <c r="LQ19" s="261">
        <f>38.8+16.8</f>
        <v>55.599999999999994</v>
      </c>
      <c r="LR19" s="440">
        <v>192834</v>
      </c>
      <c r="LS19" s="718" t="s">
        <v>3298</v>
      </c>
      <c r="LT19" s="217" t="s">
        <v>2751</v>
      </c>
      <c r="LV19" s="143" t="s">
        <v>2962</v>
      </c>
      <c r="LW19" s="286"/>
      <c r="LX19" s="440">
        <v>192834</v>
      </c>
      <c r="LY19" s="730" t="s">
        <v>3298</v>
      </c>
      <c r="LZ19" s="460">
        <v>45350</v>
      </c>
    </row>
    <row r="20" spans="1:338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1043</v>
      </c>
      <c r="T20" s="462">
        <v>3800</v>
      </c>
      <c r="W20" s="242" t="s">
        <v>1029</v>
      </c>
      <c r="X20" s="340">
        <v>0</v>
      </c>
      <c r="Y20" s="218" t="s">
        <v>1042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1191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1042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2">
        <v>527.62</v>
      </c>
      <c r="CI20" s="256" t="s">
        <v>1027</v>
      </c>
      <c r="CJ20" s="263">
        <v>1316.1</v>
      </c>
      <c r="CK20" s="218" t="s">
        <v>1043</v>
      </c>
      <c r="CL20" s="462">
        <v>17242.32</v>
      </c>
      <c r="CO20" s="256" t="s">
        <v>1026</v>
      </c>
      <c r="CP20" s="204" t="s">
        <v>686</v>
      </c>
      <c r="CQ20" s="218" t="s">
        <v>1042</v>
      </c>
      <c r="CR20" s="462">
        <v>527.62</v>
      </c>
      <c r="CS20" s="261" t="s">
        <v>1312</v>
      </c>
      <c r="CU20" s="257" t="s">
        <v>1371</v>
      </c>
      <c r="CV20" s="204">
        <v>45.3</v>
      </c>
      <c r="CW20" s="218" t="s">
        <v>1042</v>
      </c>
      <c r="CX20" s="462">
        <v>527.62</v>
      </c>
      <c r="CY20" s="261"/>
      <c r="DA20" s="256" t="s">
        <v>1190</v>
      </c>
      <c r="DB20" s="204">
        <f>6.5+6.5+12</f>
        <v>25</v>
      </c>
      <c r="DC20" s="218" t="s">
        <v>1043</v>
      </c>
      <c r="DD20" s="462">
        <v>17242</v>
      </c>
      <c r="DE20" s="261" t="s">
        <v>1431</v>
      </c>
      <c r="DF20" s="217">
        <v>100</v>
      </c>
      <c r="DG20" s="271" t="s">
        <v>1403</v>
      </c>
      <c r="DH20" s="274">
        <v>30.01</v>
      </c>
      <c r="DI20" s="218" t="s">
        <v>1461</v>
      </c>
      <c r="DJ20" s="472">
        <v>10000</v>
      </c>
      <c r="DK20" s="473" t="s">
        <v>1485</v>
      </c>
      <c r="DM20" s="270" t="s">
        <v>1515</v>
      </c>
      <c r="DN20" s="274">
        <v>420</v>
      </c>
      <c r="DO20" s="218" t="s">
        <v>1478</v>
      </c>
      <c r="DP20" s="472">
        <v>10000</v>
      </c>
      <c r="DQ20" s="473" t="s">
        <v>1574</v>
      </c>
      <c r="DS20" s="256" t="s">
        <v>1430</v>
      </c>
      <c r="DT20" s="261">
        <v>49.07</v>
      </c>
      <c r="DU20" s="218" t="s">
        <v>1492</v>
      </c>
      <c r="DV20" s="472">
        <v>10000</v>
      </c>
      <c r="DW20" s="197"/>
      <c r="DY20" s="242" t="s">
        <v>1532</v>
      </c>
      <c r="DZ20" s="340" t="s">
        <v>1599</v>
      </c>
      <c r="EA20" s="218"/>
      <c r="EB20" s="472"/>
      <c r="EE20" s="242" t="s">
        <v>1532</v>
      </c>
      <c r="EF20" s="340">
        <v>64</v>
      </c>
      <c r="EH20" s="285" t="s">
        <v>1452</v>
      </c>
      <c r="EI20" s="318">
        <v>5000</v>
      </c>
      <c r="EJ20" s="197" t="s">
        <v>1574</v>
      </c>
      <c r="EL20" s="242" t="s">
        <v>1281</v>
      </c>
      <c r="EM20" s="340">
        <v>158.44999999999999</v>
      </c>
      <c r="EN20" s="285" t="s">
        <v>1634</v>
      </c>
      <c r="EO20" s="318">
        <f>5000+5000</f>
        <v>10000</v>
      </c>
      <c r="ER20" s="299" t="s">
        <v>1281</v>
      </c>
      <c r="ES20" s="340">
        <v>136.79</v>
      </c>
      <c r="ET20" s="285" t="s">
        <v>1632</v>
      </c>
      <c r="EU20" s="318">
        <v>7000</v>
      </c>
      <c r="EV20" s="204" t="s">
        <v>1718</v>
      </c>
      <c r="EW20" s="340">
        <v>15</v>
      </c>
      <c r="EX20" s="299" t="s">
        <v>1602</v>
      </c>
      <c r="EY20" s="340" t="s">
        <v>1738</v>
      </c>
      <c r="EZ20" s="285" t="s">
        <v>1692</v>
      </c>
      <c r="FA20" s="318">
        <v>1000</v>
      </c>
      <c r="FB20" s="340" t="s">
        <v>1718</v>
      </c>
      <c r="FC20" s="340">
        <v>8.7100000000000009</v>
      </c>
      <c r="FD20" s="299" t="s">
        <v>1756</v>
      </c>
      <c r="FE20" s="340">
        <v>32</v>
      </c>
      <c r="FF20" s="285" t="s">
        <v>1692</v>
      </c>
      <c r="FG20" s="318">
        <v>1000</v>
      </c>
      <c r="FH20" s="204"/>
      <c r="FI20" s="244"/>
      <c r="FJ20" s="299" t="s">
        <v>1783</v>
      </c>
      <c r="FK20" s="340">
        <v>12</v>
      </c>
      <c r="FL20" s="285" t="s">
        <v>1564</v>
      </c>
      <c r="FM20" s="318">
        <v>15000</v>
      </c>
      <c r="FN20" s="197" t="s">
        <v>1704</v>
      </c>
      <c r="FO20" s="340">
        <v>6.37</v>
      </c>
      <c r="FP20" s="299" t="s">
        <v>1639</v>
      </c>
      <c r="FQ20" s="340">
        <f>20+20+31</f>
        <v>71</v>
      </c>
      <c r="FR20" s="285" t="s">
        <v>1751</v>
      </c>
      <c r="FS20" s="318">
        <v>25000</v>
      </c>
      <c r="FT20" s="513" t="s">
        <v>1861</v>
      </c>
      <c r="FU20" s="340">
        <v>1200</v>
      </c>
      <c r="FV20" s="299" t="s">
        <v>1190</v>
      </c>
      <c r="FW20" s="340">
        <f>6.5+15</f>
        <v>21.5</v>
      </c>
      <c r="FX20" s="285" t="s">
        <v>1893</v>
      </c>
      <c r="FY20" s="318">
        <v>209</v>
      </c>
      <c r="FZ20" s="340" t="s">
        <v>1937</v>
      </c>
      <c r="GA20" s="340">
        <f>207-202</f>
        <v>5</v>
      </c>
      <c r="GB20" s="299" t="s">
        <v>1931</v>
      </c>
      <c r="GC20" s="340">
        <v>126.93</v>
      </c>
      <c r="GD20" s="285" t="s">
        <v>1893</v>
      </c>
      <c r="GE20" s="318">
        <v>1202</v>
      </c>
      <c r="GF20" s="340" t="s">
        <v>1573</v>
      </c>
      <c r="GG20" s="240"/>
      <c r="GH20" s="299" t="s">
        <v>1931</v>
      </c>
      <c r="GI20" s="340">
        <v>95.54</v>
      </c>
      <c r="GJ20" s="285" t="s">
        <v>1891</v>
      </c>
      <c r="GK20" s="483">
        <v>744</v>
      </c>
      <c r="GL20" s="340" t="s">
        <v>1863</v>
      </c>
      <c r="GM20" s="340">
        <f>1966-2002</f>
        <v>-36</v>
      </c>
      <c r="GN20" s="299" t="s">
        <v>1989</v>
      </c>
      <c r="GO20" s="340" t="s">
        <v>1988</v>
      </c>
      <c r="GP20" s="285" t="s">
        <v>1891</v>
      </c>
      <c r="GQ20" s="483">
        <v>745</v>
      </c>
      <c r="GR20" s="325" t="s">
        <v>2603</v>
      </c>
      <c r="GS20" s="340">
        <v>128.33000000000001</v>
      </c>
      <c r="GT20" s="299" t="s">
        <v>1810</v>
      </c>
      <c r="GU20" s="340">
        <v>140.44999999999999</v>
      </c>
      <c r="GV20" s="285" t="s">
        <v>1892</v>
      </c>
      <c r="GW20" s="483">
        <v>33</v>
      </c>
      <c r="GZ20" s="299" t="s">
        <v>2067</v>
      </c>
      <c r="HA20" s="340">
        <v>97.12</v>
      </c>
      <c r="HB20" s="285" t="s">
        <v>1891</v>
      </c>
      <c r="HC20" s="483">
        <v>827</v>
      </c>
      <c r="HF20" s="299" t="s">
        <v>2033</v>
      </c>
      <c r="HG20" s="441">
        <f>2525.92/6</f>
        <v>420.98666666666668</v>
      </c>
      <c r="HH20" s="285" t="s">
        <v>1976</v>
      </c>
      <c r="HI20" s="318">
        <v>3000</v>
      </c>
      <c r="HJ20" s="514">
        <f>SUM(HJ15:HJ19)</f>
        <v>4926.7800000000007</v>
      </c>
      <c r="HK20" s="507" t="s">
        <v>2114</v>
      </c>
      <c r="HL20" s="297" t="s">
        <v>2116</v>
      </c>
      <c r="HM20" s="340">
        <v>33.5</v>
      </c>
      <c r="HN20" s="474" t="s">
        <v>1963</v>
      </c>
      <c r="HO20" s="340">
        <v>1000</v>
      </c>
      <c r="HR20" s="299" t="s">
        <v>2188</v>
      </c>
      <c r="HS20" s="340">
        <v>42.65</v>
      </c>
      <c r="HT20" s="319" t="s">
        <v>2867</v>
      </c>
      <c r="HU20" s="340">
        <v>2063</v>
      </c>
      <c r="HV20" s="506"/>
      <c r="HW20" s="515"/>
      <c r="HX20" s="299" t="s">
        <v>1190</v>
      </c>
      <c r="HY20" s="340">
        <f>6.5+15+10+6.7</f>
        <v>38.200000000000003</v>
      </c>
      <c r="HZ20" s="319" t="s">
        <v>2257</v>
      </c>
      <c r="IB20" s="516" t="s">
        <v>2262</v>
      </c>
      <c r="IC20" s="324">
        <v>626.70000000000005</v>
      </c>
      <c r="ID20" s="299" t="s">
        <v>2134</v>
      </c>
      <c r="IE20" s="441" t="s">
        <v>2337</v>
      </c>
      <c r="IF20" s="319" t="s">
        <v>2205</v>
      </c>
      <c r="IG20" s="259">
        <v>60000</v>
      </c>
      <c r="IH20" s="340" t="s">
        <v>2325</v>
      </c>
      <c r="II20" s="340">
        <f>18*2</f>
        <v>36</v>
      </c>
      <c r="IJ20" s="299" t="s">
        <v>1190</v>
      </c>
      <c r="IK20" s="340">
        <f>6.5+15</f>
        <v>21.5</v>
      </c>
      <c r="IL20" s="319" t="s">
        <v>2205</v>
      </c>
      <c r="IM20" s="259">
        <v>60000</v>
      </c>
      <c r="IO20" s="320"/>
      <c r="IP20" s="299" t="s">
        <v>2303</v>
      </c>
      <c r="IQ20" s="202">
        <f>17.6+10+15.04+18.67+17.63+10+18.43+12.51+10+16.42</f>
        <v>146.30000000000001</v>
      </c>
      <c r="IR20" s="325" t="s">
        <v>2422</v>
      </c>
      <c r="IT20" s="499"/>
      <c r="IU20" s="327"/>
      <c r="IV20" s="299" t="s">
        <v>2303</v>
      </c>
      <c r="IW20" s="202">
        <f>15.7+10+18.29+10+10+15.09+18.53+17.55+15.01+10+16.79</f>
        <v>156.95999999999998</v>
      </c>
      <c r="IX20" s="285" t="s">
        <v>2445</v>
      </c>
      <c r="IY20" s="340">
        <v>190</v>
      </c>
      <c r="IZ20" s="499"/>
      <c r="JA20" s="327"/>
      <c r="JB20" s="299" t="s">
        <v>2899</v>
      </c>
      <c r="JC20" s="202">
        <f>10+30</f>
        <v>40</v>
      </c>
      <c r="JD20" s="319" t="s">
        <v>2552</v>
      </c>
      <c r="JE20" s="259">
        <v>10</v>
      </c>
      <c r="JF20" s="499"/>
      <c r="JG20" s="327"/>
      <c r="JH20" s="299" t="s">
        <v>1190</v>
      </c>
      <c r="JI20" s="202">
        <f>6.5+15</f>
        <v>21.5</v>
      </c>
      <c r="JJ20" s="319" t="s">
        <v>2611</v>
      </c>
      <c r="JK20" s="341">
        <v>44.23</v>
      </c>
      <c r="JL20" s="499"/>
      <c r="JM20" s="327"/>
      <c r="JN20" s="299" t="s">
        <v>2643</v>
      </c>
      <c r="JO20" s="202">
        <f>9+14.32</f>
        <v>23.32</v>
      </c>
      <c r="JP20" s="285" t="s">
        <v>2549</v>
      </c>
      <c r="JQ20" s="259">
        <v>210</v>
      </c>
      <c r="JR20" s="220" t="s">
        <v>2682</v>
      </c>
      <c r="JS20" s="517">
        <v>15.42</v>
      </c>
      <c r="JT20" s="299" t="s">
        <v>2619</v>
      </c>
      <c r="JU20" s="202">
        <f>64+64+3</f>
        <v>131</v>
      </c>
      <c r="JV20" s="285" t="s">
        <v>2548</v>
      </c>
      <c r="JW20" s="318"/>
      <c r="JX20" s="217" t="s">
        <v>2774</v>
      </c>
      <c r="JY20" s="395">
        <v>27.05</v>
      </c>
      <c r="JZ20" s="243" t="s">
        <v>2686</v>
      </c>
      <c r="KA20" s="320">
        <v>1347.2</v>
      </c>
      <c r="KB20" s="285" t="s">
        <v>2548</v>
      </c>
      <c r="KC20" s="259"/>
      <c r="KD20" s="217" t="s">
        <v>2879</v>
      </c>
      <c r="KE20" s="395" t="s">
        <v>2849</v>
      </c>
      <c r="KF20" s="297" t="s">
        <v>2836</v>
      </c>
      <c r="KG20" s="202">
        <v>10</v>
      </c>
      <c r="KH20" s="204" t="s">
        <v>2842</v>
      </c>
      <c r="KI20" s="340">
        <f>KH21-0.99*195000</f>
        <v>-242</v>
      </c>
      <c r="KJ20" s="217" t="s">
        <v>2958</v>
      </c>
      <c r="KK20" s="395">
        <v>33</v>
      </c>
      <c r="KL20" s="143" t="s">
        <v>3000</v>
      </c>
      <c r="KM20" s="286">
        <v>198.07</v>
      </c>
      <c r="KN20" s="285" t="s">
        <v>2954</v>
      </c>
      <c r="KO20" s="318">
        <v>-425</v>
      </c>
      <c r="KR20" s="143" t="s">
        <v>2454</v>
      </c>
      <c r="KS20" s="202">
        <v>82.42</v>
      </c>
      <c r="KT20" s="204" t="s">
        <v>3008</v>
      </c>
      <c r="KU20" s="259">
        <f>KT21-0.99*195000</f>
        <v>-468</v>
      </c>
      <c r="KV20" s="217" t="s">
        <v>2967</v>
      </c>
      <c r="KW20" s="395">
        <f>34.33+1.58+0.5</f>
        <v>36.409999999999997</v>
      </c>
      <c r="KX20" s="254" t="s">
        <v>3083</v>
      </c>
      <c r="KY20" s="607">
        <v>20.05</v>
      </c>
      <c r="KZ20" s="440">
        <v>191328</v>
      </c>
      <c r="LA20" s="197"/>
      <c r="LB20" s="632" t="s">
        <v>3114</v>
      </c>
      <c r="LC20" s="327">
        <v>35.44</v>
      </c>
      <c r="LD20" s="243" t="s">
        <v>1829</v>
      </c>
      <c r="LE20" s="320">
        <v>10300</v>
      </c>
      <c r="LF20" s="618" t="s">
        <v>2635</v>
      </c>
      <c r="LG20" s="259">
        <v>843</v>
      </c>
      <c r="LH20" s="217" t="s">
        <v>3165</v>
      </c>
      <c r="LI20" s="395">
        <f>34.38+0.62+0.58</f>
        <v>35.58</v>
      </c>
      <c r="LJ20" s="243" t="s">
        <v>2961</v>
      </c>
      <c r="LK20" s="395">
        <f>1291.31-LK21</f>
        <v>1154.33</v>
      </c>
      <c r="LL20" s="651" t="s">
        <v>2635</v>
      </c>
      <c r="LM20" s="259">
        <v>695</v>
      </c>
      <c r="LN20" s="684" t="s">
        <v>3211</v>
      </c>
      <c r="LO20" s="395">
        <v>36</v>
      </c>
      <c r="LP20" s="143" t="s">
        <v>3268</v>
      </c>
      <c r="LQ20" s="286">
        <v>92.66</v>
      </c>
      <c r="LR20" s="678" t="s">
        <v>2634</v>
      </c>
      <c r="LS20" s="259">
        <v>2601</v>
      </c>
      <c r="LT20" s="775" t="s">
        <v>2797</v>
      </c>
      <c r="LU20" s="775"/>
      <c r="LV20" s="143" t="s">
        <v>3329</v>
      </c>
      <c r="LW20" s="261"/>
      <c r="LX20" s="729" t="s">
        <v>2634</v>
      </c>
      <c r="LY20" s="259">
        <v>2601</v>
      </c>
      <c r="LZ20" s="460">
        <v>45350</v>
      </c>
    </row>
    <row r="21" spans="1:338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97" t="s">
        <v>507</v>
      </c>
      <c r="N21" s="797"/>
      <c r="Q21" s="166" t="s">
        <v>365</v>
      </c>
      <c r="S21" s="797" t="s">
        <v>507</v>
      </c>
      <c r="T21" s="797"/>
      <c r="W21" s="242" t="s">
        <v>1026</v>
      </c>
      <c r="X21" s="340">
        <v>0</v>
      </c>
      <c r="Y21" s="218" t="s">
        <v>1043</v>
      </c>
      <c r="Z21" s="462">
        <v>13800</v>
      </c>
      <c r="AC21" s="143" t="s">
        <v>1015</v>
      </c>
      <c r="AD21" s="340">
        <v>0</v>
      </c>
      <c r="AE21" s="218" t="s">
        <v>1042</v>
      </c>
      <c r="AF21" s="462">
        <v>527</v>
      </c>
      <c r="AI21" s="143" t="s">
        <v>1015</v>
      </c>
      <c r="AJ21" s="204">
        <v>64</v>
      </c>
      <c r="AK21" s="218" t="s">
        <v>1042</v>
      </c>
      <c r="AL21" s="462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2">
        <v>527</v>
      </c>
      <c r="AU21" s="242" t="s">
        <v>1151</v>
      </c>
      <c r="AV21" s="204" t="s">
        <v>686</v>
      </c>
      <c r="AW21" s="218" t="s">
        <v>1042</v>
      </c>
      <c r="AX21" s="462">
        <v>527.62</v>
      </c>
      <c r="AY21" s="242"/>
      <c r="AZ21" s="204"/>
      <c r="BA21" s="218" t="s">
        <v>1042</v>
      </c>
      <c r="BB21" s="462">
        <f t="shared" si="0"/>
        <v>527.62</v>
      </c>
      <c r="BC21" s="261"/>
      <c r="BE21" s="242" t="s">
        <v>1026</v>
      </c>
      <c r="BF21" s="204"/>
      <c r="BG21" s="218" t="s">
        <v>1042</v>
      </c>
      <c r="BH21" s="462">
        <v>527.62</v>
      </c>
      <c r="BK21" s="256" t="s">
        <v>1026</v>
      </c>
      <c r="BL21" s="204" t="s">
        <v>686</v>
      </c>
      <c r="BM21" s="218" t="s">
        <v>1042</v>
      </c>
      <c r="BN21" s="462">
        <v>527.62</v>
      </c>
      <c r="BO21" s="261" t="s">
        <v>1231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7">
        <v>527.62</v>
      </c>
      <c r="BU21" s="261"/>
      <c r="BW21" s="256" t="s">
        <v>1026</v>
      </c>
      <c r="BX21" s="204" t="s">
        <v>686</v>
      </c>
      <c r="BY21" s="218" t="s">
        <v>1043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2">
        <v>22203.86</v>
      </c>
      <c r="CI21" s="256" t="s">
        <v>1026</v>
      </c>
      <c r="CJ21" s="204" t="s">
        <v>686</v>
      </c>
      <c r="CK21" s="218" t="s">
        <v>1268</v>
      </c>
      <c r="CL21" s="462" t="s">
        <v>686</v>
      </c>
      <c r="CO21" s="257" t="s">
        <v>1332</v>
      </c>
      <c r="CP21" s="204" t="s">
        <v>1331</v>
      </c>
      <c r="CQ21" s="218" t="s">
        <v>1043</v>
      </c>
      <c r="CR21" s="462">
        <v>17242.32</v>
      </c>
      <c r="CS21" s="261"/>
      <c r="CU21" s="257" t="s">
        <v>1190</v>
      </c>
      <c r="CV21" s="204">
        <v>13</v>
      </c>
      <c r="CW21" s="218" t="s">
        <v>996</v>
      </c>
      <c r="CX21" s="462">
        <f>26991+10000</f>
        <v>36991</v>
      </c>
      <c r="DA21" s="256" t="s">
        <v>1281</v>
      </c>
      <c r="DB21" s="204">
        <v>119.11</v>
      </c>
      <c r="DC21" s="218" t="s">
        <v>1042</v>
      </c>
      <c r="DD21" s="462">
        <v>527</v>
      </c>
      <c r="DE21" s="261"/>
      <c r="DF21" s="204"/>
      <c r="DG21" s="271" t="s">
        <v>1320</v>
      </c>
      <c r="DH21" s="261">
        <f>24+2.1</f>
        <v>26.1</v>
      </c>
      <c r="DI21" s="218" t="s">
        <v>1462</v>
      </c>
      <c r="DJ21" s="472">
        <v>10000</v>
      </c>
      <c r="DK21" s="204" t="s">
        <v>1465</v>
      </c>
      <c r="DL21" s="217">
        <f>10027-10000</f>
        <v>27</v>
      </c>
      <c r="DM21" s="267" t="s">
        <v>1372</v>
      </c>
      <c r="DO21" s="218"/>
      <c r="DP21" s="472"/>
      <c r="DQ21" s="204" t="s">
        <v>1494</v>
      </c>
      <c r="DR21" s="261">
        <v>80.19</v>
      </c>
      <c r="DS21" s="256" t="s">
        <v>1555</v>
      </c>
      <c r="DT21" s="261">
        <f>6.5+15+171+12</f>
        <v>204.5</v>
      </c>
      <c r="DU21" s="218"/>
      <c r="DV21" s="472"/>
      <c r="DY21" s="242" t="s">
        <v>1507</v>
      </c>
      <c r="DZ21" s="340">
        <f>15.9+16.73+14.68+13.7+15.31+11.22+16.8+10</f>
        <v>114.34</v>
      </c>
      <c r="EA21" s="218" t="s">
        <v>1464</v>
      </c>
      <c r="EB21" s="472">
        <v>5000</v>
      </c>
      <c r="EE21" s="242" t="s">
        <v>1507</v>
      </c>
      <c r="EF21" s="340">
        <f>12.24+16.64+6.43+4+7.12+8</f>
        <v>54.43</v>
      </c>
      <c r="EH21" s="285" t="s">
        <v>1631</v>
      </c>
      <c r="EI21" s="318">
        <v>5000</v>
      </c>
      <c r="EJ21" s="340" t="s">
        <v>1640</v>
      </c>
      <c r="EK21" s="340">
        <v>57.67</v>
      </c>
      <c r="EL21" s="242" t="s">
        <v>1602</v>
      </c>
      <c r="EM21" s="340">
        <v>11</v>
      </c>
      <c r="EN21" s="285" t="s">
        <v>1495</v>
      </c>
      <c r="EO21" s="318">
        <v>10000</v>
      </c>
      <c r="ER21" s="299" t="s">
        <v>1602</v>
      </c>
      <c r="ES21" s="340">
        <v>11</v>
      </c>
      <c r="ET21" s="285" t="s">
        <v>1693</v>
      </c>
      <c r="EU21" s="318">
        <v>12000</v>
      </c>
      <c r="EV21" s="204" t="s">
        <v>1722</v>
      </c>
      <c r="EW21" s="340">
        <v>18</v>
      </c>
      <c r="EX21" s="299" t="s">
        <v>1532</v>
      </c>
      <c r="EY21" s="340">
        <f>64+64</f>
        <v>128</v>
      </c>
      <c r="EZ21" s="285" t="s">
        <v>1632</v>
      </c>
      <c r="FA21" s="318">
        <v>8000</v>
      </c>
      <c r="FB21" s="204" t="s">
        <v>1746</v>
      </c>
      <c r="FC21" s="784" t="s">
        <v>1744</v>
      </c>
      <c r="FD21" s="299" t="s">
        <v>1012</v>
      </c>
      <c r="FE21" s="340">
        <v>9</v>
      </c>
      <c r="FF21" s="285" t="s">
        <v>1632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1692</v>
      </c>
      <c r="FM21" s="318">
        <v>0</v>
      </c>
      <c r="FN21" s="197" t="s">
        <v>1842</v>
      </c>
      <c r="FO21" s="340">
        <v>4.68</v>
      </c>
      <c r="FP21" s="299" t="s">
        <v>1190</v>
      </c>
      <c r="FQ21" s="340">
        <f>15+6.5</f>
        <v>21.5</v>
      </c>
      <c r="FR21" s="285" t="s">
        <v>1564</v>
      </c>
      <c r="FS21" s="318">
        <v>15000</v>
      </c>
      <c r="FT21" s="197" t="s">
        <v>1862</v>
      </c>
      <c r="FU21" s="340">
        <v>200</v>
      </c>
      <c r="FV21" s="299" t="s">
        <v>1900</v>
      </c>
      <c r="FW21" s="340">
        <v>10.96</v>
      </c>
      <c r="FX21" s="285" t="s">
        <v>1695</v>
      </c>
      <c r="FY21" s="318">
        <v>3000</v>
      </c>
      <c r="FZ21" s="340" t="s">
        <v>1936</v>
      </c>
      <c r="GA21" s="340">
        <f>992-1001</f>
        <v>-9</v>
      </c>
      <c r="GB21" s="299" t="s">
        <v>1810</v>
      </c>
      <c r="GC21" s="340">
        <v>140.44999999999999</v>
      </c>
      <c r="GD21" s="285" t="s">
        <v>1695</v>
      </c>
      <c r="GE21" s="318">
        <v>3000</v>
      </c>
      <c r="GG21" s="240"/>
      <c r="GH21" s="299" t="s">
        <v>1810</v>
      </c>
      <c r="GI21" s="340">
        <v>140.44999999999999</v>
      </c>
      <c r="GJ21" s="285" t="s">
        <v>1892</v>
      </c>
      <c r="GK21" s="483">
        <v>33</v>
      </c>
      <c r="GL21" s="340" t="s">
        <v>1863</v>
      </c>
      <c r="GM21" s="340">
        <f>819.61-808</f>
        <v>11.610000000000014</v>
      </c>
      <c r="GN21" s="299" t="s">
        <v>1931</v>
      </c>
      <c r="GO21" s="340">
        <v>111.54</v>
      </c>
      <c r="GP21" s="285" t="s">
        <v>1892</v>
      </c>
      <c r="GQ21" s="483">
        <v>33</v>
      </c>
      <c r="GR21" s="340" t="s">
        <v>2602</v>
      </c>
      <c r="GS21" s="240"/>
      <c r="GT21" s="299" t="s">
        <v>2117</v>
      </c>
      <c r="GU21" s="340">
        <f>9.01+15+6.5</f>
        <v>30.509999999999998</v>
      </c>
      <c r="GV21" s="285" t="s">
        <v>1893</v>
      </c>
      <c r="GW21" s="318">
        <v>48</v>
      </c>
      <c r="GX21" s="197"/>
      <c r="GZ21" s="299" t="s">
        <v>1810</v>
      </c>
      <c r="HA21" s="340">
        <v>140.44999999999999</v>
      </c>
      <c r="HB21" s="285" t="s">
        <v>1892</v>
      </c>
      <c r="HC21" s="483">
        <v>0</v>
      </c>
      <c r="HD21" s="340" t="s">
        <v>2145</v>
      </c>
      <c r="HF21" s="299" t="s">
        <v>2101</v>
      </c>
      <c r="HG21" s="204">
        <v>85</v>
      </c>
      <c r="HH21" s="285" t="s">
        <v>1977</v>
      </c>
      <c r="HI21" s="318">
        <v>4000</v>
      </c>
      <c r="HK21" s="507"/>
      <c r="HL21" s="297" t="s">
        <v>2127</v>
      </c>
      <c r="HM21" s="340">
        <v>48.88</v>
      </c>
      <c r="HN21" s="285" t="s">
        <v>1976</v>
      </c>
      <c r="HO21" s="318">
        <v>3000</v>
      </c>
      <c r="HR21" s="299" t="s">
        <v>2187</v>
      </c>
      <c r="HS21" s="340">
        <v>64</v>
      </c>
      <c r="HT21" s="319" t="s">
        <v>2163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2212</v>
      </c>
      <c r="IA21" s="326">
        <v>345026.96</v>
      </c>
      <c r="IB21" s="518" t="s">
        <v>2262</v>
      </c>
      <c r="IC21" s="519">
        <v>598.5</v>
      </c>
      <c r="ID21" s="299" t="s">
        <v>2338</v>
      </c>
      <c r="IE21" s="340">
        <v>137.03</v>
      </c>
      <c r="IF21" s="319" t="s">
        <v>2206</v>
      </c>
      <c r="IG21" s="259">
        <v>50001</v>
      </c>
      <c r="IH21" s="340" t="s">
        <v>2331</v>
      </c>
      <c r="II21" s="340">
        <v>18</v>
      </c>
      <c r="IJ21" s="299" t="s">
        <v>2146</v>
      </c>
      <c r="IK21" s="340">
        <v>9</v>
      </c>
      <c r="IL21" s="319" t="s">
        <v>2212</v>
      </c>
      <c r="IM21" s="240">
        <v>65005</v>
      </c>
      <c r="IO21" s="320"/>
      <c r="IP21" s="297" t="s">
        <v>2429</v>
      </c>
      <c r="IQ21" s="202">
        <v>30</v>
      </c>
      <c r="IR21" s="474" t="s">
        <v>2384</v>
      </c>
      <c r="IS21" s="340">
        <v>2007</v>
      </c>
      <c r="IT21" s="506"/>
      <c r="IV21" s="297" t="s">
        <v>2491</v>
      </c>
      <c r="IW21" s="202">
        <v>80</v>
      </c>
      <c r="IX21" s="474" t="s">
        <v>2384</v>
      </c>
      <c r="IY21" s="340">
        <v>2013</v>
      </c>
      <c r="IZ21" s="499"/>
      <c r="JA21" s="327"/>
      <c r="JB21" s="299" t="s">
        <v>2502</v>
      </c>
      <c r="JC21" s="274">
        <v>115.37</v>
      </c>
      <c r="JD21" s="285" t="s">
        <v>2549</v>
      </c>
      <c r="JE21" s="340">
        <v>130</v>
      </c>
      <c r="JF21" s="499"/>
      <c r="JG21" s="327"/>
      <c r="JH21" s="299" t="s">
        <v>2591</v>
      </c>
      <c r="JI21" s="202">
        <v>27</v>
      </c>
      <c r="JJ21" s="319" t="s">
        <v>2552</v>
      </c>
      <c r="JK21" s="357">
        <v>10</v>
      </c>
      <c r="JN21" s="299" t="s">
        <v>2303</v>
      </c>
      <c r="JO21" s="202">
        <f>11.94+10+20.54+17.31+14.45+15.78+10</f>
        <v>100.02</v>
      </c>
      <c r="JP21" s="285" t="s">
        <v>2548</v>
      </c>
      <c r="JQ21" s="259"/>
      <c r="JR21" s="487" t="s">
        <v>2681</v>
      </c>
      <c r="JS21" s="520">
        <f>783.33+1167.38+1493.5+2179.3</f>
        <v>5623.51</v>
      </c>
      <c r="JT21" s="299" t="s">
        <v>2693</v>
      </c>
      <c r="JU21" s="202">
        <v>6.97</v>
      </c>
      <c r="JV21" s="474" t="s">
        <v>2384</v>
      </c>
      <c r="JW21" s="259">
        <v>1000</v>
      </c>
      <c r="JX21" s="217" t="s">
        <v>2880</v>
      </c>
      <c r="JY21" s="395">
        <v>13.23</v>
      </c>
      <c r="JZ21" s="243" t="s">
        <v>2799</v>
      </c>
      <c r="KA21" s="320">
        <v>1322.98</v>
      </c>
      <c r="KB21" s="474" t="s">
        <v>2384</v>
      </c>
      <c r="KC21" s="259">
        <v>1000</v>
      </c>
      <c r="KD21" s="285" t="s">
        <v>2881</v>
      </c>
      <c r="KE21" s="327">
        <f>63.91+71.9+199.73+2.07</f>
        <v>337.60999999999996</v>
      </c>
      <c r="KF21" s="297" t="s">
        <v>2846</v>
      </c>
      <c r="KG21" s="202">
        <v>108.001</v>
      </c>
      <c r="KH21" s="440">
        <v>192808</v>
      </c>
      <c r="KI21" s="197"/>
      <c r="KJ21" s="217" t="s">
        <v>2878</v>
      </c>
      <c r="KK21" s="395">
        <v>20.67</v>
      </c>
      <c r="KL21" s="143" t="s">
        <v>2454</v>
      </c>
      <c r="KM21" s="202">
        <v>81.91</v>
      </c>
      <c r="KN21" s="204" t="s">
        <v>2855</v>
      </c>
      <c r="KO21" s="259">
        <f>KN22-0.99*195000</f>
        <v>-55900</v>
      </c>
      <c r="KP21" s="204" t="s">
        <v>3009</v>
      </c>
      <c r="KQ21" s="340">
        <v>1895.66</v>
      </c>
      <c r="KR21" s="143" t="s">
        <v>2977</v>
      </c>
      <c r="KS21" s="202">
        <v>30</v>
      </c>
      <c r="KT21" s="440">
        <v>192582</v>
      </c>
      <c r="KU21" s="197"/>
      <c r="KV21" s="585" t="s">
        <v>3061</v>
      </c>
      <c r="KW21" s="340">
        <v>546.92999999999995</v>
      </c>
      <c r="KX21" s="254" t="s">
        <v>3087</v>
      </c>
      <c r="KY21" s="610">
        <v>399.3</v>
      </c>
      <c r="KZ21" s="204" t="s">
        <v>2634</v>
      </c>
      <c r="LA21" s="259">
        <v>2600</v>
      </c>
      <c r="LB21" s="624" t="s">
        <v>3115</v>
      </c>
      <c r="LC21" s="616">
        <f>611.37+8.86</f>
        <v>620.23</v>
      </c>
      <c r="LD21" s="243" t="s">
        <v>2961</v>
      </c>
      <c r="LE21" s="395">
        <f>1314-LE22</f>
        <v>1179</v>
      </c>
      <c r="LF21" s="618" t="s">
        <v>2636</v>
      </c>
      <c r="LG21" s="643">
        <v>1832</v>
      </c>
      <c r="LH21" s="666" t="s">
        <v>3164</v>
      </c>
      <c r="LI21" s="395">
        <v>676.21</v>
      </c>
      <c r="LJ21" s="143" t="s">
        <v>2962</v>
      </c>
      <c r="LK21" s="286">
        <v>136.97999999999999</v>
      </c>
      <c r="LL21" s="651" t="s">
        <v>2636</v>
      </c>
      <c r="LM21" s="334">
        <v>282</v>
      </c>
      <c r="LN21" s="677" t="s">
        <v>3254</v>
      </c>
      <c r="LO21" s="395"/>
      <c r="LP21" s="143" t="s">
        <v>3258</v>
      </c>
      <c r="LQ21" s="261">
        <v>153</v>
      </c>
      <c r="LR21" s="681" t="s">
        <v>2635</v>
      </c>
      <c r="LS21" s="259">
        <v>841</v>
      </c>
      <c r="LT21" s="735"/>
      <c r="LU21" s="735"/>
      <c r="LV21" s="143" t="s">
        <v>2454</v>
      </c>
      <c r="LW21" s="202"/>
      <c r="LX21" s="733" t="s">
        <v>2635</v>
      </c>
      <c r="LY21" s="259">
        <v>841</v>
      </c>
      <c r="LZ21" s="460">
        <v>45350</v>
      </c>
    </row>
    <row r="22" spans="1:338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92" t="s">
        <v>990</v>
      </c>
      <c r="N22" s="792"/>
      <c r="Q22" s="166" t="s">
        <v>369</v>
      </c>
      <c r="S22" s="792" t="s">
        <v>990</v>
      </c>
      <c r="T22" s="792"/>
      <c r="W22" s="242" t="s">
        <v>1019</v>
      </c>
      <c r="X22" s="340">
        <v>0</v>
      </c>
      <c r="Y22" s="797" t="s">
        <v>507</v>
      </c>
      <c r="Z22" s="797"/>
      <c r="AC22" s="143" t="s">
        <v>1014</v>
      </c>
      <c r="AD22" s="340">
        <v>80.001000000000005</v>
      </c>
      <c r="AE22" s="218" t="s">
        <v>1043</v>
      </c>
      <c r="AF22" s="462" t="s">
        <v>1076</v>
      </c>
      <c r="AI22" s="143" t="s">
        <v>1014</v>
      </c>
      <c r="AJ22" s="204">
        <v>150</v>
      </c>
      <c r="AK22" s="218" t="s">
        <v>1043</v>
      </c>
      <c r="AL22" s="462" t="s">
        <v>1076</v>
      </c>
      <c r="AO22" s="242" t="s">
        <v>1123</v>
      </c>
      <c r="AP22" s="204">
        <v>0</v>
      </c>
      <c r="AQ22" s="218" t="s">
        <v>1043</v>
      </c>
      <c r="AR22" s="462">
        <v>20000</v>
      </c>
      <c r="AU22" s="242" t="s">
        <v>1123</v>
      </c>
      <c r="AV22" s="204">
        <f>200+150+172</f>
        <v>522</v>
      </c>
      <c r="AW22" s="218" t="s">
        <v>1043</v>
      </c>
      <c r="AX22" s="364">
        <v>19203.86</v>
      </c>
      <c r="AY22" s="242"/>
      <c r="AZ22" s="204"/>
      <c r="BA22" s="218" t="s">
        <v>1043</v>
      </c>
      <c r="BB22" s="462">
        <f t="shared" si="0"/>
        <v>19203.86</v>
      </c>
      <c r="BE22" s="242" t="s">
        <v>1029</v>
      </c>
      <c r="BG22" s="218" t="s">
        <v>1043</v>
      </c>
      <c r="BH22" s="364">
        <v>19203.86</v>
      </c>
      <c r="BK22" s="256" t="s">
        <v>1029</v>
      </c>
      <c r="BL22" s="217" t="s">
        <v>686</v>
      </c>
      <c r="BM22" s="218" t="s">
        <v>1043</v>
      </c>
      <c r="BN22" s="364">
        <v>19203.86</v>
      </c>
      <c r="BQ22" s="256" t="s">
        <v>1029</v>
      </c>
      <c r="BR22" s="217" t="s">
        <v>686</v>
      </c>
      <c r="BS22" s="218" t="s">
        <v>1043</v>
      </c>
      <c r="BT22" s="377">
        <v>22203.86</v>
      </c>
      <c r="BW22" s="256" t="s">
        <v>1029</v>
      </c>
      <c r="BX22" s="217" t="s">
        <v>686</v>
      </c>
      <c r="BY22" s="218" t="s">
        <v>1257</v>
      </c>
      <c r="BZ22" s="462">
        <f>10000+4000</f>
        <v>14000</v>
      </c>
      <c r="CC22" s="256" t="s">
        <v>1029</v>
      </c>
      <c r="CD22" s="217" t="s">
        <v>686</v>
      </c>
      <c r="CE22" s="218" t="s">
        <v>1268</v>
      </c>
      <c r="CF22" s="462">
        <v>10000</v>
      </c>
      <c r="CI22" s="257" t="s">
        <v>1319</v>
      </c>
      <c r="CJ22" s="204">
        <v>91.86</v>
      </c>
      <c r="CK22" s="521" t="s">
        <v>1263</v>
      </c>
      <c r="CL22" s="522">
        <v>-20000</v>
      </c>
      <c r="CO22" s="257" t="s">
        <v>1346</v>
      </c>
      <c r="CP22" s="204">
        <v>57.34</v>
      </c>
      <c r="CQ22" s="521" t="s">
        <v>1263</v>
      </c>
      <c r="CR22" s="522">
        <v>-20000</v>
      </c>
      <c r="CS22" s="261" t="s">
        <v>1367</v>
      </c>
      <c r="CT22" s="261" t="s">
        <v>1368</v>
      </c>
      <c r="CU22" s="257" t="s">
        <v>1281</v>
      </c>
      <c r="CV22" s="204">
        <v>136.53</v>
      </c>
      <c r="CW22" s="521" t="s">
        <v>1263</v>
      </c>
      <c r="CX22" s="522">
        <v>-20000</v>
      </c>
      <c r="DA22" s="256" t="s">
        <v>1329</v>
      </c>
      <c r="DB22" s="204">
        <v>53.24</v>
      </c>
      <c r="DC22" s="218" t="s">
        <v>996</v>
      </c>
      <c r="DD22" s="462">
        <v>45991</v>
      </c>
      <c r="DF22" s="204"/>
      <c r="DG22" s="271" t="s">
        <v>1410</v>
      </c>
      <c r="DH22" s="261" t="s">
        <v>686</v>
      </c>
      <c r="DI22" s="218" t="s">
        <v>1453</v>
      </c>
      <c r="DJ22" s="472">
        <v>10000</v>
      </c>
      <c r="DM22" s="267" t="s">
        <v>1512</v>
      </c>
      <c r="DN22" s="277">
        <v>189.2</v>
      </c>
      <c r="DO22" s="218" t="s">
        <v>1464</v>
      </c>
      <c r="DP22" s="472">
        <v>5000</v>
      </c>
      <c r="DQ22" s="204" t="s">
        <v>1495</v>
      </c>
      <c r="DR22" s="217">
        <v>10.51</v>
      </c>
      <c r="DS22" s="256" t="s">
        <v>1281</v>
      </c>
      <c r="DT22" s="261">
        <v>140.44999999999999</v>
      </c>
      <c r="DU22" s="218" t="s">
        <v>1464</v>
      </c>
      <c r="DV22" s="472">
        <v>5000</v>
      </c>
      <c r="EA22" s="218" t="s">
        <v>1452</v>
      </c>
      <c r="EB22" s="472">
        <v>5000</v>
      </c>
      <c r="EE22" s="297" t="s">
        <v>1635</v>
      </c>
      <c r="EF22" s="340">
        <v>10</v>
      </c>
      <c r="EH22" s="285" t="s">
        <v>1632</v>
      </c>
      <c r="EI22" s="318">
        <v>10000</v>
      </c>
      <c r="EJ22" s="340" t="s">
        <v>1641</v>
      </c>
      <c r="EK22" s="340">
        <v>33.71</v>
      </c>
      <c r="EL22" s="242" t="s">
        <v>1532</v>
      </c>
      <c r="EM22" s="340">
        <f>64+32</f>
        <v>96</v>
      </c>
      <c r="EN22" s="285" t="s">
        <v>1494</v>
      </c>
      <c r="EO22" s="318">
        <v>30000</v>
      </c>
      <c r="ER22" s="299" t="s">
        <v>1532</v>
      </c>
      <c r="ES22" s="340">
        <v>0</v>
      </c>
      <c r="ET22" s="285" t="s">
        <v>1694</v>
      </c>
      <c r="EU22" s="318">
        <v>13000</v>
      </c>
      <c r="EV22" s="204" t="s">
        <v>1730</v>
      </c>
      <c r="EW22" s="340">
        <f>4074+4965-9000</f>
        <v>39</v>
      </c>
      <c r="EX22" s="299" t="s">
        <v>1507</v>
      </c>
      <c r="EY22" s="340">
        <f>5.2+0.88+2.24+16.2+10+1.44+10.21+16.7+1.31+15.1+2.62+2.62+2.53+2.62+2.62+4.71</f>
        <v>97</v>
      </c>
      <c r="EZ22" s="285" t="s">
        <v>1693</v>
      </c>
      <c r="FA22" s="318">
        <v>2000</v>
      </c>
      <c r="FB22" s="204"/>
      <c r="FC22" s="784"/>
      <c r="FD22" s="299" t="s">
        <v>1507</v>
      </c>
      <c r="FE22" s="340">
        <f>2.62+4.71+2.62+13.99+15.65+7.92+10.66+6.21</f>
        <v>64.38</v>
      </c>
      <c r="FF22" s="285" t="s">
        <v>1693</v>
      </c>
      <c r="FG22" s="318">
        <v>2000</v>
      </c>
      <c r="FH22" s="204"/>
      <c r="FJ22" s="299" t="s">
        <v>1507</v>
      </c>
      <c r="FK22" s="340">
        <f>8.69+8.74+7.36+10.96+7.08+7.26</f>
        <v>50.089999999999996</v>
      </c>
      <c r="FL22" s="285" t="s">
        <v>1692</v>
      </c>
      <c r="FM22" s="318">
        <v>0</v>
      </c>
      <c r="FP22" s="299" t="s">
        <v>1532</v>
      </c>
      <c r="FQ22" s="340">
        <v>64</v>
      </c>
      <c r="FR22" s="285" t="s">
        <v>1632</v>
      </c>
      <c r="FS22" s="318" t="s">
        <v>1076</v>
      </c>
      <c r="FT22" s="340" t="s">
        <v>1876</v>
      </c>
      <c r="FU22" s="340">
        <v>1193.8599999999999</v>
      </c>
      <c r="FV22" s="299" t="s">
        <v>1532</v>
      </c>
      <c r="FW22" s="340" t="s">
        <v>657</v>
      </c>
      <c r="FX22" s="285" t="s">
        <v>1699</v>
      </c>
      <c r="FY22" s="318">
        <v>4000</v>
      </c>
      <c r="FZ22" s="197"/>
      <c r="GB22" s="299" t="s">
        <v>1190</v>
      </c>
      <c r="GC22" s="340" t="s">
        <v>686</v>
      </c>
      <c r="GD22" s="285" t="s">
        <v>1699</v>
      </c>
      <c r="GE22" s="318">
        <v>4000</v>
      </c>
      <c r="GF22" s="197" t="s">
        <v>1965</v>
      </c>
      <c r="GH22" s="299" t="s">
        <v>1190</v>
      </c>
      <c r="GI22" s="340">
        <f>13+30</f>
        <v>43</v>
      </c>
      <c r="GJ22" s="285" t="s">
        <v>1893</v>
      </c>
      <c r="GK22" s="318">
        <v>182</v>
      </c>
      <c r="GL22" s="197"/>
      <c r="GN22" s="299" t="s">
        <v>1810</v>
      </c>
      <c r="GO22" s="340">
        <v>140.44999999999999</v>
      </c>
      <c r="GP22" s="285" t="s">
        <v>1893</v>
      </c>
      <c r="GQ22" s="318">
        <v>2148</v>
      </c>
      <c r="GS22" s="240"/>
      <c r="GT22" s="299" t="s">
        <v>1900</v>
      </c>
      <c r="GU22" s="340">
        <v>10.96</v>
      </c>
      <c r="GV22" s="285" t="s">
        <v>1976</v>
      </c>
      <c r="GW22" s="318">
        <v>3000</v>
      </c>
      <c r="GZ22" s="299" t="s">
        <v>2118</v>
      </c>
      <c r="HA22" s="340">
        <f>10.96+9.01+6.5+15</f>
        <v>41.47</v>
      </c>
      <c r="HB22" s="285" t="s">
        <v>1893</v>
      </c>
      <c r="HC22" s="318">
        <v>0</v>
      </c>
      <c r="HD22" s="197" t="s">
        <v>2089</v>
      </c>
      <c r="HE22" s="340">
        <v>10</v>
      </c>
      <c r="HF22" s="299" t="s">
        <v>2067</v>
      </c>
      <c r="HG22" s="340">
        <v>16.71</v>
      </c>
      <c r="HH22" s="285" t="s">
        <v>1978</v>
      </c>
      <c r="HI22" s="318">
        <v>25000</v>
      </c>
      <c r="HK22" s="507"/>
      <c r="HL22" s="297" t="s">
        <v>2137</v>
      </c>
      <c r="HM22" s="340">
        <v>115.9</v>
      </c>
      <c r="HN22" s="285" t="s">
        <v>2130</v>
      </c>
      <c r="HO22" s="318">
        <v>4000</v>
      </c>
      <c r="HR22" s="299" t="s">
        <v>2192</v>
      </c>
      <c r="HS22" s="340">
        <v>10</v>
      </c>
      <c r="HT22" s="319" t="s">
        <v>2164</v>
      </c>
      <c r="HU22" s="340">
        <f>5002+10000+5002+10002+5000</f>
        <v>35006</v>
      </c>
      <c r="HW22" s="507"/>
      <c r="HX22" s="299" t="s">
        <v>2208</v>
      </c>
      <c r="HY22" s="340">
        <v>64</v>
      </c>
      <c r="HZ22" s="319" t="s">
        <v>2867</v>
      </c>
      <c r="IA22" s="318">
        <v>2000</v>
      </c>
      <c r="IB22" s="523" t="s">
        <v>2260</v>
      </c>
      <c r="IC22" s="524">
        <f>19.95*3</f>
        <v>59.849999999999994</v>
      </c>
      <c r="ID22" s="299" t="s">
        <v>2275</v>
      </c>
      <c r="IE22" s="340">
        <v>167</v>
      </c>
      <c r="IF22" s="285" t="s">
        <v>2222</v>
      </c>
      <c r="IG22" s="318">
        <v>-80000</v>
      </c>
      <c r="IH22" s="340" t="s">
        <v>2892</v>
      </c>
      <c r="II22" s="340">
        <f>9.86*4</f>
        <v>39.44</v>
      </c>
      <c r="IJ22" s="299" t="s">
        <v>2202</v>
      </c>
      <c r="IK22" s="340">
        <v>64</v>
      </c>
      <c r="IL22" s="319" t="s">
        <v>2874</v>
      </c>
      <c r="IM22" s="259">
        <v>2190</v>
      </c>
      <c r="IO22" s="320"/>
      <c r="IP22" s="297" t="s">
        <v>2405</v>
      </c>
      <c r="IQ22" s="202">
        <v>10</v>
      </c>
      <c r="IR22" s="325" t="s">
        <v>2408</v>
      </c>
      <c r="IT22" s="777" t="s">
        <v>2129</v>
      </c>
      <c r="IU22" s="777"/>
      <c r="IV22" s="297" t="s">
        <v>2483</v>
      </c>
      <c r="IW22" s="202">
        <v>42.51</v>
      </c>
      <c r="IX22" s="325" t="s">
        <v>2408</v>
      </c>
      <c r="IZ22" s="499"/>
      <c r="JA22" s="327"/>
      <c r="JB22" s="299" t="s">
        <v>1190</v>
      </c>
      <c r="JC22" s="202">
        <f>13+30</f>
        <v>43</v>
      </c>
      <c r="JD22" s="285" t="s">
        <v>2548</v>
      </c>
      <c r="JH22" s="299" t="s">
        <v>2146</v>
      </c>
      <c r="JI22" s="202">
        <f>9+14.32</f>
        <v>23.32</v>
      </c>
      <c r="JJ22" s="285" t="s">
        <v>2549</v>
      </c>
      <c r="JK22" s="340">
        <v>230</v>
      </c>
      <c r="JL22" s="499"/>
      <c r="JM22" s="327"/>
      <c r="JN22" s="297" t="s">
        <v>2893</v>
      </c>
      <c r="JO22" s="259">
        <v>2953</v>
      </c>
      <c r="JP22" s="474" t="s">
        <v>2384</v>
      </c>
      <c r="JQ22" s="259">
        <v>1000</v>
      </c>
      <c r="JR22" s="487" t="s">
        <v>2688</v>
      </c>
      <c r="JS22" s="520"/>
      <c r="JT22" s="299" t="s">
        <v>2303</v>
      </c>
      <c r="JU22" s="202">
        <f>17.57+15.78+10+10+16.81+16.4+1.52+17.15+1.19+10.85</f>
        <v>117.26999999999998</v>
      </c>
      <c r="JV22" s="325" t="s">
        <v>2408</v>
      </c>
      <c r="JW22" s="202"/>
      <c r="JX22" s="217" t="s">
        <v>2882</v>
      </c>
      <c r="JY22" s="395">
        <v>31.96</v>
      </c>
      <c r="JZ22" s="243" t="s">
        <v>2789</v>
      </c>
      <c r="KA22" s="320">
        <v>1730.87</v>
      </c>
      <c r="KB22" s="325" t="s">
        <v>2402</v>
      </c>
      <c r="KC22" s="202"/>
      <c r="KD22" s="204" t="s">
        <v>2844</v>
      </c>
      <c r="KE22" s="327">
        <f>7000*(1-98.14%)</f>
        <v>130.19999999999965</v>
      </c>
      <c r="KF22" s="297" t="s">
        <v>2824</v>
      </c>
      <c r="KG22" s="340">
        <v>135.69999999999999</v>
      </c>
      <c r="KH22" s="204" t="s">
        <v>2634</v>
      </c>
      <c r="KI22" s="259">
        <v>2600</v>
      </c>
      <c r="KJ22" s="217" t="s">
        <v>2853</v>
      </c>
      <c r="KK22" s="327">
        <v>380.32</v>
      </c>
      <c r="KL22" s="143" t="s">
        <v>1190</v>
      </c>
      <c r="KM22" s="202">
        <f>6.5+15</f>
        <v>21.5</v>
      </c>
      <c r="KN22" s="440">
        <v>137150</v>
      </c>
      <c r="KO22" s="197"/>
      <c r="KP22" s="204" t="s">
        <v>3010</v>
      </c>
      <c r="KQ22" s="441">
        <v>2121.2199999999998</v>
      </c>
      <c r="KR22" s="143" t="s">
        <v>2970</v>
      </c>
      <c r="KS22" s="202">
        <v>100</v>
      </c>
      <c r="KT22" s="204" t="s">
        <v>2634</v>
      </c>
      <c r="KU22" s="259">
        <v>2600</v>
      </c>
      <c r="KV22" s="585" t="s">
        <v>3062</v>
      </c>
      <c r="KW22" s="340">
        <v>297.89999999999998</v>
      </c>
      <c r="KX22" s="254" t="s">
        <v>3088</v>
      </c>
      <c r="KY22" s="604">
        <f>388.8-248.41</f>
        <v>140.39000000000001</v>
      </c>
      <c r="KZ22" s="319" t="s">
        <v>2635</v>
      </c>
      <c r="LA22" s="259">
        <v>656</v>
      </c>
      <c r="LB22" s="617" t="s">
        <v>3046</v>
      </c>
      <c r="LC22" s="616">
        <v>93.25</v>
      </c>
      <c r="LD22" s="143" t="s">
        <v>2962</v>
      </c>
      <c r="LE22" s="286">
        <v>135</v>
      </c>
      <c r="LF22" s="618" t="s">
        <v>2900</v>
      </c>
      <c r="LG22" s="259">
        <v>10</v>
      </c>
      <c r="LH22" s="648" t="s">
        <v>3156</v>
      </c>
      <c r="LI22" s="647">
        <v>9.26</v>
      </c>
      <c r="LJ22" s="143" t="s">
        <v>3029</v>
      </c>
      <c r="LK22" s="261">
        <v>42.95</v>
      </c>
      <c r="LL22" s="651" t="s">
        <v>2900</v>
      </c>
      <c r="LM22" s="259">
        <v>10</v>
      </c>
      <c r="LN22" s="680" t="s">
        <v>3224</v>
      </c>
      <c r="LO22" s="395">
        <f>212.33+76.44+67.94</f>
        <v>356.71</v>
      </c>
      <c r="LP22" s="143" t="s">
        <v>2454</v>
      </c>
      <c r="LQ22" s="202">
        <v>23.1</v>
      </c>
      <c r="LR22" s="681" t="s">
        <v>2636</v>
      </c>
      <c r="LS22" s="334">
        <v>1531</v>
      </c>
      <c r="LT22" s="735"/>
      <c r="LU22" s="735"/>
      <c r="LV22" s="143" t="s">
        <v>3330</v>
      </c>
      <c r="LW22" s="202"/>
      <c r="LX22" s="733" t="s">
        <v>2636</v>
      </c>
      <c r="LY22" s="334">
        <v>1531</v>
      </c>
      <c r="LZ22" s="460">
        <v>45350</v>
      </c>
    </row>
    <row r="23" spans="1:338">
      <c r="A23" s="797" t="s">
        <v>507</v>
      </c>
      <c r="B23" s="797"/>
      <c r="E23" s="164" t="s">
        <v>237</v>
      </c>
      <c r="F23" s="166"/>
      <c r="G23" s="797" t="s">
        <v>507</v>
      </c>
      <c r="H23" s="797"/>
      <c r="K23" s="242" t="s">
        <v>1019</v>
      </c>
      <c r="L23" s="340">
        <v>0</v>
      </c>
      <c r="M23" s="789"/>
      <c r="N23" s="789"/>
      <c r="Q23" s="166" t="s">
        <v>1053</v>
      </c>
      <c r="S23" s="789"/>
      <c r="T23" s="789"/>
      <c r="W23" s="242" t="s">
        <v>1027</v>
      </c>
      <c r="X23" s="204">
        <v>0</v>
      </c>
      <c r="Y23" s="792" t="s">
        <v>990</v>
      </c>
      <c r="Z23" s="792"/>
      <c r="AE23" s="797" t="s">
        <v>507</v>
      </c>
      <c r="AF23" s="797"/>
      <c r="AK23" s="797" t="s">
        <v>507</v>
      </c>
      <c r="AL23" s="797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1049</v>
      </c>
      <c r="BF23" s="204" t="s">
        <v>657</v>
      </c>
      <c r="BG23" s="521" t="s">
        <v>347</v>
      </c>
      <c r="BH23" s="521">
        <v>-30000</v>
      </c>
      <c r="BK23" s="257" t="s">
        <v>1049</v>
      </c>
      <c r="BL23" s="204" t="s">
        <v>657</v>
      </c>
      <c r="BM23" s="521" t="s">
        <v>347</v>
      </c>
      <c r="BN23" s="521">
        <v>-30000</v>
      </c>
      <c r="BQ23" s="257" t="s">
        <v>1252</v>
      </c>
      <c r="BR23" s="204">
        <v>121.05</v>
      </c>
      <c r="BS23" s="521" t="s">
        <v>1224</v>
      </c>
      <c r="BT23" s="526">
        <v>-20000</v>
      </c>
      <c r="BW23" s="257" t="s">
        <v>1049</v>
      </c>
      <c r="BX23" s="204" t="s">
        <v>657</v>
      </c>
      <c r="BY23" s="521" t="s">
        <v>1263</v>
      </c>
      <c r="BZ23" s="522">
        <v>-20000</v>
      </c>
      <c r="CC23" s="257" t="s">
        <v>1049</v>
      </c>
      <c r="CD23" s="204">
        <v>47.12</v>
      </c>
      <c r="CE23" s="521" t="s">
        <v>1263</v>
      </c>
      <c r="CF23" s="522">
        <v>-20000</v>
      </c>
      <c r="CI23" s="257" t="s">
        <v>1306</v>
      </c>
      <c r="CJ23" s="204">
        <v>72.42</v>
      </c>
      <c r="CK23" s="204" t="s">
        <v>1308</v>
      </c>
      <c r="CL23" s="335">
        <v>802</v>
      </c>
      <c r="CO23" s="257" t="s">
        <v>1190</v>
      </c>
      <c r="CP23" s="204">
        <v>13</v>
      </c>
      <c r="CQ23" s="325" t="s">
        <v>1308</v>
      </c>
      <c r="CR23" s="325">
        <f>802-791</f>
        <v>11</v>
      </c>
      <c r="CU23" s="257" t="s">
        <v>1329</v>
      </c>
      <c r="CV23" s="204">
        <v>53.24</v>
      </c>
      <c r="CW23" s="527" t="s">
        <v>1308</v>
      </c>
      <c r="CX23" s="462"/>
      <c r="DA23" s="256" t="s">
        <v>1298</v>
      </c>
      <c r="DB23" s="204">
        <v>64</v>
      </c>
      <c r="DC23" s="521" t="s">
        <v>1263</v>
      </c>
      <c r="DD23" s="522">
        <v>-20000</v>
      </c>
      <c r="DE23" s="261" t="s">
        <v>1434</v>
      </c>
      <c r="DF23" s="217">
        <f>7.1+13</f>
        <v>20.100000000000001</v>
      </c>
      <c r="DG23" s="270" t="s">
        <v>1456</v>
      </c>
      <c r="DH23" s="274">
        <v>35.630000000000003</v>
      </c>
      <c r="DI23" s="218" t="s">
        <v>1454</v>
      </c>
      <c r="DJ23" s="472">
        <v>10000</v>
      </c>
      <c r="DK23" s="204"/>
      <c r="DM23" s="267"/>
      <c r="DN23" s="261"/>
      <c r="DO23" s="218" t="s">
        <v>1452</v>
      </c>
      <c r="DP23" s="472">
        <v>5000</v>
      </c>
      <c r="DQ23" s="204"/>
      <c r="DS23" s="256" t="s">
        <v>1329</v>
      </c>
      <c r="DT23" s="261">
        <v>11</v>
      </c>
      <c r="DU23" s="218" t="s">
        <v>1452</v>
      </c>
      <c r="DV23" s="472">
        <v>5000</v>
      </c>
      <c r="DY23" s="297" t="s">
        <v>1597</v>
      </c>
      <c r="DZ23" s="340">
        <v>25</v>
      </c>
      <c r="EA23" s="218" t="s">
        <v>1489</v>
      </c>
      <c r="EB23" s="472">
        <v>5000</v>
      </c>
      <c r="EE23" s="783" t="s">
        <v>1531</v>
      </c>
      <c r="EF23" s="783"/>
      <c r="EH23" s="285" t="s">
        <v>1633</v>
      </c>
      <c r="EI23" s="318">
        <v>5000</v>
      </c>
      <c r="EL23" s="242" t="s">
        <v>1507</v>
      </c>
      <c r="EM23" s="340">
        <f>5.43+3.52+5.66+9.02+8.26</f>
        <v>31.89</v>
      </c>
      <c r="EN23" s="285" t="s">
        <v>1562</v>
      </c>
      <c r="EO23" s="318">
        <v>20000</v>
      </c>
      <c r="ER23" s="299" t="s">
        <v>1507</v>
      </c>
      <c r="ES23" s="340">
        <f>7.48+6.15+3.6+2.24+10+2.24</f>
        <v>31.71</v>
      </c>
      <c r="ET23" s="285" t="s">
        <v>1698</v>
      </c>
      <c r="EU23" s="318">
        <v>10000</v>
      </c>
      <c r="EV23" s="204" t="s">
        <v>1745</v>
      </c>
      <c r="EW23" s="784" t="s">
        <v>1744</v>
      </c>
      <c r="EX23" s="297" t="s">
        <v>1721</v>
      </c>
      <c r="EY23" s="340">
        <f>6+3.65</f>
        <v>9.65</v>
      </c>
      <c r="EZ23" s="285" t="s">
        <v>1694</v>
      </c>
      <c r="FA23" s="318">
        <v>3000</v>
      </c>
      <c r="FB23" s="204"/>
      <c r="FC23" s="784"/>
      <c r="FD23" s="297" t="s">
        <v>1752</v>
      </c>
      <c r="FE23" s="340">
        <v>10</v>
      </c>
      <c r="FF23" s="285" t="s">
        <v>1694</v>
      </c>
      <c r="FG23" s="318">
        <v>3000</v>
      </c>
      <c r="FJ23" s="297" t="s">
        <v>1787</v>
      </c>
      <c r="FK23" s="340">
        <v>70</v>
      </c>
      <c r="FL23" s="285" t="s">
        <v>1632</v>
      </c>
      <c r="FM23" s="318">
        <v>2000</v>
      </c>
      <c r="FN23" s="204"/>
      <c r="FO23" s="244"/>
      <c r="FP23" s="299" t="s">
        <v>1783</v>
      </c>
      <c r="FQ23" s="340">
        <v>12</v>
      </c>
      <c r="FR23" s="285" t="s">
        <v>1693</v>
      </c>
      <c r="FS23" s="318">
        <v>2000</v>
      </c>
      <c r="FT23" s="197" t="s">
        <v>1877</v>
      </c>
      <c r="FV23" s="299" t="s">
        <v>1783</v>
      </c>
      <c r="FW23" s="340">
        <v>12</v>
      </c>
      <c r="FX23" s="285" t="s">
        <v>1751</v>
      </c>
      <c r="FY23" s="318">
        <v>25000</v>
      </c>
      <c r="GB23" s="299" t="s">
        <v>1900</v>
      </c>
      <c r="GC23" s="340">
        <v>10.96</v>
      </c>
      <c r="GD23" s="285" t="s">
        <v>1751</v>
      </c>
      <c r="GE23" s="318">
        <v>25000</v>
      </c>
      <c r="GF23" s="340" t="s">
        <v>1863</v>
      </c>
      <c r="GG23" s="340">
        <f>990.58-1001</f>
        <v>-10.419999999999959</v>
      </c>
      <c r="GH23" s="299" t="s">
        <v>1900</v>
      </c>
      <c r="GI23" s="340">
        <v>10.96</v>
      </c>
      <c r="GJ23" s="285" t="s">
        <v>1695</v>
      </c>
      <c r="GK23" s="318">
        <v>3000</v>
      </c>
      <c r="GN23" s="299" t="s">
        <v>1190</v>
      </c>
      <c r="GO23" s="340">
        <f>15+6.5+25.7</f>
        <v>47.2</v>
      </c>
      <c r="GP23" s="285" t="s">
        <v>1976</v>
      </c>
      <c r="GQ23" s="318">
        <v>3000</v>
      </c>
      <c r="GR23" s="197" t="s">
        <v>2013</v>
      </c>
      <c r="GT23" s="299" t="s">
        <v>1532</v>
      </c>
      <c r="GU23" s="340">
        <v>64</v>
      </c>
      <c r="GV23" s="285" t="s">
        <v>1977</v>
      </c>
      <c r="GW23" s="318">
        <v>4000</v>
      </c>
      <c r="GZ23" s="299" t="s">
        <v>2119</v>
      </c>
      <c r="HA23" s="340">
        <f>10+2.2</f>
        <v>12.2</v>
      </c>
      <c r="HB23" s="285" t="s">
        <v>1976</v>
      </c>
      <c r="HC23" s="318">
        <v>3000</v>
      </c>
      <c r="HD23" s="340" t="s">
        <v>2108</v>
      </c>
      <c r="HF23" s="299" t="s">
        <v>1810</v>
      </c>
      <c r="HG23" s="340">
        <v>140.44999999999999</v>
      </c>
      <c r="HH23" s="285" t="s">
        <v>1633</v>
      </c>
      <c r="HI23" s="318">
        <v>2000</v>
      </c>
      <c r="HJ23" s="777" t="s">
        <v>2129</v>
      </c>
      <c r="HK23" s="777"/>
      <c r="HL23" s="297" t="s">
        <v>2136</v>
      </c>
      <c r="HM23" s="340">
        <v>57.3</v>
      </c>
      <c r="HN23" s="285" t="s">
        <v>1978</v>
      </c>
      <c r="HO23" s="318">
        <v>25000</v>
      </c>
      <c r="HR23" s="299" t="s">
        <v>1949</v>
      </c>
      <c r="HS23" s="505">
        <f>16.5+14.09+10+1.34+13.21+16.39+15.89+17.3</f>
        <v>104.72</v>
      </c>
      <c r="HT23" s="319" t="s">
        <v>2174</v>
      </c>
      <c r="HU23" s="340">
        <f>5002+10000+10000+5000</f>
        <v>30002</v>
      </c>
      <c r="HV23" s="777" t="s">
        <v>2129</v>
      </c>
      <c r="HW23" s="777"/>
      <c r="HX23" s="299" t="s">
        <v>2244</v>
      </c>
      <c r="HY23" s="340">
        <v>30</v>
      </c>
      <c r="HZ23" s="319" t="s">
        <v>2205</v>
      </c>
      <c r="IA23" s="259">
        <v>60000.04</v>
      </c>
      <c r="IB23" s="506"/>
      <c r="ID23" s="299" t="s">
        <v>1190</v>
      </c>
      <c r="IE23" s="340">
        <f>15+6.5</f>
        <v>21.5</v>
      </c>
      <c r="IF23" s="285" t="s">
        <v>509</v>
      </c>
      <c r="IG23" s="340">
        <v>80</v>
      </c>
      <c r="IH23" s="340" t="s">
        <v>2873</v>
      </c>
      <c r="II23" s="340">
        <f>2.74+2.52+1.19*2</f>
        <v>7.64</v>
      </c>
      <c r="IJ23" s="299" t="s">
        <v>2303</v>
      </c>
      <c r="IK23" s="505">
        <f>20.75+15.85+16.8+10+21.56+17.42+14.05+10</f>
        <v>126.43</v>
      </c>
      <c r="IL23" s="285" t="s">
        <v>2380</v>
      </c>
      <c r="IM23" s="340">
        <v>150</v>
      </c>
      <c r="IO23" s="320"/>
      <c r="IP23" s="297" t="s">
        <v>1866</v>
      </c>
      <c r="IQ23" s="202">
        <v>80</v>
      </c>
      <c r="IR23" s="325" t="s">
        <v>2402</v>
      </c>
      <c r="IS23" s="332"/>
      <c r="IT23" s="305" t="s">
        <v>1922</v>
      </c>
      <c r="IU23" s="260">
        <f>SUM(IW7:IW9)</f>
        <v>3911.02</v>
      </c>
      <c r="IV23" s="297" t="s">
        <v>2496</v>
      </c>
      <c r="IW23" s="202">
        <v>45.98</v>
      </c>
      <c r="IX23" s="325"/>
      <c r="IZ23" s="506"/>
      <c r="JB23" s="299" t="s">
        <v>2146</v>
      </c>
      <c r="JC23" s="202">
        <f>9+14.32</f>
        <v>23.32</v>
      </c>
      <c r="JD23" s="474" t="s">
        <v>2384</v>
      </c>
      <c r="JE23" s="340">
        <v>1000</v>
      </c>
      <c r="JF23" s="499"/>
      <c r="JG23" s="327"/>
      <c r="JH23" s="391" t="s">
        <v>2592</v>
      </c>
      <c r="JI23" s="335">
        <v>4.05</v>
      </c>
      <c r="JJ23" s="285" t="s">
        <v>2548</v>
      </c>
      <c r="JL23" s="499"/>
      <c r="JM23" s="327"/>
      <c r="JN23" s="297" t="s">
        <v>2618</v>
      </c>
      <c r="JO23" s="202">
        <v>50.23</v>
      </c>
      <c r="JP23" s="325" t="s">
        <v>2408</v>
      </c>
      <c r="JQ23" s="259"/>
      <c r="JS23" s="327"/>
      <c r="JT23" s="297" t="s">
        <v>2683</v>
      </c>
      <c r="JU23" s="202">
        <v>10</v>
      </c>
      <c r="JV23" s="325" t="s">
        <v>2402</v>
      </c>
      <c r="JW23" s="202"/>
      <c r="JX23" s="285" t="s">
        <v>2883</v>
      </c>
      <c r="JY23" s="395">
        <f>85.99+30.96</f>
        <v>116.94999999999999</v>
      </c>
      <c r="JZ23" s="243" t="s">
        <v>2775</v>
      </c>
      <c r="KA23" s="320">
        <v>1713.69</v>
      </c>
      <c r="KB23" s="325" t="s">
        <v>2408</v>
      </c>
      <c r="KC23" s="202"/>
      <c r="KD23" s="204" t="s">
        <v>2845</v>
      </c>
      <c r="KE23" s="340">
        <f>1660.5+1107</f>
        <v>2767.5</v>
      </c>
      <c r="KF23" s="297" t="s">
        <v>2869</v>
      </c>
      <c r="KG23" s="335">
        <v>10</v>
      </c>
      <c r="KH23" s="319" t="s">
        <v>2635</v>
      </c>
      <c r="KI23" s="259">
        <v>1</v>
      </c>
      <c r="KJ23" s="217" t="s">
        <v>2852</v>
      </c>
      <c r="KK23" s="327">
        <v>5.68</v>
      </c>
      <c r="KL23" s="143" t="s">
        <v>2643</v>
      </c>
      <c r="KM23" s="202">
        <f>14.32+9*2</f>
        <v>32.32</v>
      </c>
      <c r="KN23" s="204" t="s">
        <v>2634</v>
      </c>
      <c r="KO23" s="259">
        <v>2600</v>
      </c>
      <c r="KP23" s="204" t="s">
        <v>3011</v>
      </c>
      <c r="KQ23" s="441">
        <v>2597.87</v>
      </c>
      <c r="KR23" s="143" t="s">
        <v>3026</v>
      </c>
      <c r="KS23" s="274">
        <v>109.75</v>
      </c>
      <c r="KT23" s="319" t="s">
        <v>2635</v>
      </c>
      <c r="KU23" s="259">
        <v>1238</v>
      </c>
      <c r="KV23" s="590" t="s">
        <v>3046</v>
      </c>
      <c r="KW23" s="589">
        <f>5000*(1-0.9813)</f>
        <v>93.500000000000256</v>
      </c>
      <c r="KX23" s="243" t="s">
        <v>2961</v>
      </c>
      <c r="KY23" s="320">
        <f>1338.94-KY24</f>
        <v>1196.72</v>
      </c>
      <c r="KZ23" s="319" t="s">
        <v>2636</v>
      </c>
      <c r="LA23" s="334">
        <v>1072</v>
      </c>
      <c r="LB23" s="635" t="s">
        <v>3116</v>
      </c>
      <c r="LC23" s="634">
        <v>93</v>
      </c>
      <c r="LD23" s="143" t="s">
        <v>3142</v>
      </c>
      <c r="LE23" s="286">
        <v>176.86</v>
      </c>
      <c r="LF23" s="614" t="s">
        <v>3007</v>
      </c>
      <c r="LG23" s="259">
        <v>160</v>
      </c>
      <c r="LH23" s="663" t="s">
        <v>3046</v>
      </c>
      <c r="LI23" s="662">
        <v>93.25</v>
      </c>
      <c r="LJ23" s="143" t="s">
        <v>2454</v>
      </c>
      <c r="LK23" s="202">
        <v>40.950000000000003</v>
      </c>
      <c r="LL23" s="650" t="s">
        <v>3007</v>
      </c>
      <c r="LM23" s="259">
        <v>210</v>
      </c>
      <c r="LN23" s="217" t="s">
        <v>3210</v>
      </c>
      <c r="LO23" s="395">
        <f>34.36+1.52+0.5</f>
        <v>36.380000000000003</v>
      </c>
      <c r="LP23" s="143" t="s">
        <v>3220</v>
      </c>
      <c r="LQ23" s="202">
        <f>200+339</f>
        <v>539</v>
      </c>
      <c r="LR23" s="681" t="s">
        <v>2900</v>
      </c>
      <c r="LS23" s="259">
        <v>10</v>
      </c>
      <c r="LT23" s="729"/>
      <c r="LV23" s="143" t="s">
        <v>3332</v>
      </c>
      <c r="LW23" s="274" t="s">
        <v>3331</v>
      </c>
      <c r="LX23" s="733" t="s">
        <v>2900</v>
      </c>
      <c r="LY23" s="259">
        <v>10</v>
      </c>
      <c r="LZ23" s="460">
        <v>45350</v>
      </c>
    </row>
    <row r="24" spans="1:338">
      <c r="A24" s="792" t="s">
        <v>990</v>
      </c>
      <c r="B24" s="792"/>
      <c r="E24" s="164" t="s">
        <v>139</v>
      </c>
      <c r="F24" s="166"/>
      <c r="G24" s="792" t="s">
        <v>990</v>
      </c>
      <c r="H24" s="792"/>
      <c r="K24" s="242" t="s">
        <v>1027</v>
      </c>
      <c r="L24" s="204">
        <v>0</v>
      </c>
      <c r="M24" s="789"/>
      <c r="N24" s="789"/>
      <c r="Q24" s="242" t="s">
        <v>1029</v>
      </c>
      <c r="R24" s="340">
        <v>0</v>
      </c>
      <c r="S24" s="789"/>
      <c r="T24" s="789"/>
      <c r="W24" s="242" t="s">
        <v>1047</v>
      </c>
      <c r="X24" s="340">
        <v>910.17</v>
      </c>
      <c r="Y24" s="789"/>
      <c r="Z24" s="789"/>
      <c r="AC24" s="245" t="s">
        <v>1080</v>
      </c>
      <c r="AD24" s="340">
        <v>90</v>
      </c>
      <c r="AE24" s="792" t="s">
        <v>990</v>
      </c>
      <c r="AF24" s="792"/>
      <c r="AI24" s="243" t="s">
        <v>1098</v>
      </c>
      <c r="AJ24" s="340">
        <v>30</v>
      </c>
      <c r="AK24" s="792" t="s">
        <v>990</v>
      </c>
      <c r="AL24" s="792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92"/>
      <c r="BH24" s="792"/>
      <c r="BK24" s="257" t="s">
        <v>1217</v>
      </c>
      <c r="BL24" s="204">
        <v>48.54</v>
      </c>
      <c r="BM24" s="792"/>
      <c r="BN24" s="792"/>
      <c r="BQ24" s="257" t="s">
        <v>1048</v>
      </c>
      <c r="BR24" s="204">
        <v>50.15</v>
      </c>
      <c r="BS24" s="792" t="s">
        <v>1240</v>
      </c>
      <c r="BT24" s="792"/>
      <c r="BW24" s="257" t="s">
        <v>1048</v>
      </c>
      <c r="BX24" s="204">
        <v>48.54</v>
      </c>
      <c r="BY24" s="792"/>
      <c r="BZ24" s="792"/>
      <c r="CC24" s="257" t="s">
        <v>1048</v>
      </c>
      <c r="CD24" s="204">
        <v>142.91</v>
      </c>
      <c r="CE24" s="792"/>
      <c r="CF24" s="792"/>
      <c r="CI24" s="257" t="s">
        <v>1307</v>
      </c>
      <c r="CJ24" s="204">
        <v>35.049999999999997</v>
      </c>
      <c r="CK24" s="789"/>
      <c r="CL24" s="789"/>
      <c r="CO24" s="257" t="s">
        <v>1281</v>
      </c>
      <c r="CP24" s="204">
        <v>153.41</v>
      </c>
      <c r="CQ24" s="789" t="s">
        <v>1322</v>
      </c>
      <c r="CR24" s="789"/>
      <c r="CU24" s="257" t="s">
        <v>1298</v>
      </c>
      <c r="CV24" s="204">
        <v>32</v>
      </c>
      <c r="CW24" s="527" t="s">
        <v>1347</v>
      </c>
      <c r="CX24" s="527" t="s">
        <v>1362</v>
      </c>
      <c r="DA24" s="256" t="s">
        <v>1397</v>
      </c>
      <c r="DB24" s="204">
        <v>0</v>
      </c>
      <c r="DC24" s="527" t="s">
        <v>1308</v>
      </c>
      <c r="DD24" s="462"/>
      <c r="DE24" s="261" t="s">
        <v>1413</v>
      </c>
      <c r="DF24" s="217">
        <v>14</v>
      </c>
      <c r="DG24" s="270" t="s">
        <v>1554</v>
      </c>
      <c r="DH24" s="274">
        <v>152</v>
      </c>
      <c r="DI24" s="218" t="s">
        <v>1463</v>
      </c>
      <c r="DJ24" s="472">
        <v>40000</v>
      </c>
      <c r="DK24" s="204"/>
      <c r="DM24" s="256" t="s">
        <v>1560</v>
      </c>
      <c r="DN24" s="261">
        <v>118.12</v>
      </c>
      <c r="DO24" s="218" t="s">
        <v>1489</v>
      </c>
      <c r="DP24" s="472">
        <v>5000</v>
      </c>
      <c r="DQ24" s="204"/>
      <c r="DS24" s="256" t="s">
        <v>1523</v>
      </c>
      <c r="DT24" s="261">
        <v>10340.549999999999</v>
      </c>
      <c r="DU24" s="218" t="s">
        <v>1489</v>
      </c>
      <c r="DV24" s="472">
        <v>5000</v>
      </c>
      <c r="DY24" s="297" t="s">
        <v>1607</v>
      </c>
      <c r="DZ24" s="340">
        <v>20.100000000000001</v>
      </c>
      <c r="EA24" s="218" t="s">
        <v>1490</v>
      </c>
      <c r="EB24" s="472">
        <v>5000</v>
      </c>
      <c r="EE24" s="528">
        <v>100</v>
      </c>
      <c r="EF24" s="281">
        <f>EB11+EE24-EI9</f>
        <v>50</v>
      </c>
      <c r="EH24" s="285" t="s">
        <v>1634</v>
      </c>
      <c r="EI24" s="318">
        <v>5000</v>
      </c>
      <c r="EL24" s="297" t="s">
        <v>1642</v>
      </c>
      <c r="EM24" s="340">
        <v>70</v>
      </c>
      <c r="EN24" s="285" t="s">
        <v>1492</v>
      </c>
      <c r="EO24" s="318">
        <v>10000</v>
      </c>
      <c r="ER24" s="297" t="s">
        <v>1652</v>
      </c>
      <c r="ES24" s="340">
        <v>0</v>
      </c>
      <c r="ET24" s="204" t="s">
        <v>1696</v>
      </c>
      <c r="EU24" s="318">
        <v>0</v>
      </c>
      <c r="EW24" s="784"/>
      <c r="EX24" s="297" t="s">
        <v>1731</v>
      </c>
      <c r="EY24" s="340">
        <v>10</v>
      </c>
      <c r="EZ24" s="285" t="s">
        <v>1694</v>
      </c>
      <c r="FA24" s="318">
        <v>1000</v>
      </c>
      <c r="FB24" s="204"/>
      <c r="FC24" s="204"/>
      <c r="FD24" s="297" t="s">
        <v>1773</v>
      </c>
      <c r="FE24" s="340">
        <f>8*2</f>
        <v>16</v>
      </c>
      <c r="FF24" s="285" t="s">
        <v>1694</v>
      </c>
      <c r="FG24" s="318">
        <v>1000</v>
      </c>
      <c r="FJ24" s="297" t="s">
        <v>1788</v>
      </c>
      <c r="FK24" s="340">
        <v>60.14</v>
      </c>
      <c r="FL24" s="285" t="s">
        <v>1693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1694</v>
      </c>
      <c r="FS24" s="318">
        <v>3000</v>
      </c>
      <c r="FT24" s="340" t="s">
        <v>1899</v>
      </c>
      <c r="FU24" s="340">
        <v>15.000999999999999</v>
      </c>
      <c r="FV24" s="299" t="s">
        <v>1975</v>
      </c>
      <c r="FW24" s="340">
        <v>18</v>
      </c>
      <c r="FX24" s="285" t="s">
        <v>1693</v>
      </c>
      <c r="FY24" s="318">
        <v>2000</v>
      </c>
      <c r="GB24" s="299" t="s">
        <v>1951</v>
      </c>
      <c r="GC24" s="340">
        <v>64</v>
      </c>
      <c r="GD24" s="285" t="s">
        <v>1693</v>
      </c>
      <c r="GE24" s="318">
        <v>2000</v>
      </c>
      <c r="GF24" s="340" t="s">
        <v>1946</v>
      </c>
      <c r="GG24" s="340">
        <f>989.5-1001</f>
        <v>-11.5</v>
      </c>
      <c r="GH24" s="299" t="s">
        <v>1532</v>
      </c>
      <c r="GI24" s="340">
        <v>64</v>
      </c>
      <c r="GJ24" s="285" t="s">
        <v>1699</v>
      </c>
      <c r="GK24" s="318">
        <v>4000</v>
      </c>
      <c r="GN24" s="299" t="s">
        <v>1900</v>
      </c>
      <c r="GO24" s="340">
        <v>10.96</v>
      </c>
      <c r="GP24" s="285" t="s">
        <v>1977</v>
      </c>
      <c r="GQ24" s="318">
        <v>4000</v>
      </c>
      <c r="GT24" s="299" t="s">
        <v>1948</v>
      </c>
      <c r="GU24" s="340">
        <f>10+10</f>
        <v>20</v>
      </c>
      <c r="GV24" s="285" t="s">
        <v>1978</v>
      </c>
      <c r="GW24" s="318">
        <v>25000</v>
      </c>
      <c r="GZ24" s="299" t="s">
        <v>1949</v>
      </c>
      <c r="HA24" s="340">
        <f>15.19+14.56+13.54+14.83+17.61+15.15</f>
        <v>90.88</v>
      </c>
      <c r="HB24" s="285" t="s">
        <v>1977</v>
      </c>
      <c r="HC24" s="318">
        <v>4000</v>
      </c>
      <c r="HD24" s="340" t="s">
        <v>2111</v>
      </c>
      <c r="HF24" s="299" t="s">
        <v>1190</v>
      </c>
      <c r="HG24" s="340">
        <f>6.5+15+90</f>
        <v>111.5</v>
      </c>
      <c r="HH24" s="285" t="s">
        <v>1634</v>
      </c>
      <c r="HI24" s="318">
        <v>4000</v>
      </c>
      <c r="HJ24" s="306" t="s">
        <v>1922</v>
      </c>
      <c r="HK24" s="263">
        <f>SUM(HM7:HM7)</f>
        <v>1900.08</v>
      </c>
      <c r="HL24" s="340" t="s">
        <v>2156</v>
      </c>
      <c r="HM24" s="204">
        <v>130</v>
      </c>
      <c r="HN24" s="285" t="s">
        <v>1633</v>
      </c>
      <c r="HO24" s="318">
        <v>2000</v>
      </c>
      <c r="HQ24" s="507"/>
      <c r="HR24" s="297" t="s">
        <v>2168</v>
      </c>
      <c r="HS24" s="340">
        <v>20</v>
      </c>
      <c r="HT24" s="285" t="s">
        <v>1620</v>
      </c>
      <c r="HU24" s="340">
        <v>150</v>
      </c>
      <c r="HV24" s="305" t="s">
        <v>1922</v>
      </c>
      <c r="HW24" s="263">
        <f>SUM(HY8:HY8)</f>
        <v>1900.1</v>
      </c>
      <c r="HX24" s="299" t="s">
        <v>1949</v>
      </c>
      <c r="HY24" s="505">
        <f>17.86+15.16+7.54+15.3+16.45+13.02</f>
        <v>85.33</v>
      </c>
      <c r="HZ24" s="319" t="s">
        <v>2206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1963</v>
      </c>
      <c r="IG24" s="340">
        <v>1002</v>
      </c>
      <c r="IJ24" s="297" t="s">
        <v>2364</v>
      </c>
      <c r="IK24" s="340">
        <v>60</v>
      </c>
      <c r="IL24" s="474" t="s">
        <v>2384</v>
      </c>
      <c r="IM24" s="340">
        <v>1004</v>
      </c>
      <c r="IO24" s="320"/>
      <c r="IP24" s="297" t="s">
        <v>2403</v>
      </c>
      <c r="IQ24" s="202">
        <v>40.5</v>
      </c>
      <c r="IR24" s="474" t="s">
        <v>2410</v>
      </c>
      <c r="IS24" s="340">
        <v>28</v>
      </c>
      <c r="IT24" s="243" t="s">
        <v>1923</v>
      </c>
      <c r="IU24" s="260">
        <f>SUM(IW14:IW14)</f>
        <v>2116.9666666666667</v>
      </c>
      <c r="IV24" s="297" t="s">
        <v>2734</v>
      </c>
      <c r="IW24" s="202">
        <v>45.2</v>
      </c>
      <c r="IX24" s="325" t="s">
        <v>2355</v>
      </c>
      <c r="JB24" s="299" t="s">
        <v>2394</v>
      </c>
      <c r="JC24" s="202">
        <v>96</v>
      </c>
      <c r="JD24" s="325"/>
      <c r="JF24" s="499"/>
      <c r="JG24" s="327"/>
      <c r="JH24" s="299" t="s">
        <v>2303</v>
      </c>
      <c r="JI24" s="202">
        <f>15.55+10+15.6+17.36+16.4+10+14.01+16.99+15.65</f>
        <v>131.56</v>
      </c>
      <c r="JJ24" s="474" t="s">
        <v>2384</v>
      </c>
      <c r="JK24" s="340">
        <v>1000</v>
      </c>
      <c r="JL24" s="506"/>
      <c r="JN24" s="297" t="s">
        <v>2625</v>
      </c>
      <c r="JO24" s="202">
        <f>9+2</f>
        <v>11</v>
      </c>
      <c r="JP24" s="325" t="s">
        <v>2651</v>
      </c>
      <c r="JQ24" s="259">
        <v>14.8</v>
      </c>
      <c r="JR24" s="457" t="s">
        <v>2623</v>
      </c>
      <c r="JS24" s="457"/>
      <c r="JT24" s="297" t="s">
        <v>2708</v>
      </c>
      <c r="JU24" s="202">
        <v>48.2</v>
      </c>
      <c r="JV24" s="325" t="s">
        <v>2676</v>
      </c>
      <c r="JW24" s="202">
        <v>453.6</v>
      </c>
      <c r="JY24" s="327"/>
      <c r="JZ24" s="299" t="s">
        <v>2454</v>
      </c>
      <c r="KA24" s="202">
        <f>69.21+73.35</f>
        <v>142.56</v>
      </c>
      <c r="KB24" s="325" t="s">
        <v>2768</v>
      </c>
      <c r="KC24" s="202">
        <v>1.64</v>
      </c>
      <c r="KD24" s="340">
        <f>150000*(1-0.98155)</f>
        <v>2767.499999999995</v>
      </c>
      <c r="KE24" s="340" t="s">
        <v>2933</v>
      </c>
      <c r="KF24" s="297" t="s">
        <v>2813</v>
      </c>
      <c r="KG24" s="335">
        <v>38</v>
      </c>
      <c r="KH24" s="319" t="s">
        <v>2636</v>
      </c>
      <c r="KI24" s="334">
        <v>408</v>
      </c>
      <c r="KJ24" s="204" t="s">
        <v>2939</v>
      </c>
      <c r="KK24" s="340">
        <f>20000*(1-0.9814)</f>
        <v>371.99999999999898</v>
      </c>
      <c r="KL24" s="143" t="s">
        <v>2693</v>
      </c>
      <c r="KM24" s="202">
        <v>10.8</v>
      </c>
      <c r="KN24" s="319" t="s">
        <v>2635</v>
      </c>
      <c r="KO24" s="259">
        <v>520</v>
      </c>
      <c r="KP24" s="204" t="s">
        <v>3012</v>
      </c>
      <c r="KQ24" s="441">
        <v>2650.71</v>
      </c>
      <c r="KR24" s="143" t="s">
        <v>2969</v>
      </c>
      <c r="KS24" s="274">
        <v>131.87</v>
      </c>
      <c r="KT24" s="319" t="s">
        <v>2636</v>
      </c>
      <c r="KU24" s="334">
        <v>41061</v>
      </c>
      <c r="KV24" s="603" t="s">
        <v>3068</v>
      </c>
      <c r="KW24" s="327">
        <f>5000*2*(1-0.98105)</f>
        <v>189.50000000000023</v>
      </c>
      <c r="KX24" s="143" t="s">
        <v>2962</v>
      </c>
      <c r="KY24" s="326">
        <v>142.22</v>
      </c>
      <c r="KZ24" s="319" t="s">
        <v>2900</v>
      </c>
      <c r="LA24" s="259">
        <v>10</v>
      </c>
      <c r="LC24" s="614"/>
      <c r="LD24" s="143" t="s">
        <v>2454</v>
      </c>
      <c r="LE24" s="202">
        <v>72.06</v>
      </c>
      <c r="LF24" s="620" t="s">
        <v>2384</v>
      </c>
      <c r="LG24" s="259">
        <v>1000</v>
      </c>
      <c r="LH24" s="669" t="s">
        <v>3169</v>
      </c>
      <c r="LI24" s="395">
        <v>92.25</v>
      </c>
      <c r="LJ24" s="143" t="s">
        <v>3184</v>
      </c>
      <c r="LK24" s="274">
        <v>152.15</v>
      </c>
      <c r="LL24" s="652" t="s">
        <v>2384</v>
      </c>
      <c r="LM24" s="259">
        <v>1000</v>
      </c>
      <c r="LN24" s="678" t="s">
        <v>3232</v>
      </c>
      <c r="LO24" s="395">
        <v>288.38</v>
      </c>
      <c r="LP24" s="143" t="s">
        <v>3251</v>
      </c>
      <c r="LQ24" s="274">
        <f>3.87</f>
        <v>3.87</v>
      </c>
      <c r="LR24" s="680" t="s">
        <v>3007</v>
      </c>
      <c r="LS24" s="259">
        <v>100</v>
      </c>
      <c r="LV24" s="143" t="s">
        <v>1190</v>
      </c>
      <c r="LW24" s="202"/>
      <c r="LX24" s="732" t="s">
        <v>3007</v>
      </c>
      <c r="LY24" s="259">
        <v>100</v>
      </c>
      <c r="LZ24" s="460">
        <v>45350</v>
      </c>
    </row>
    <row r="25" spans="1:338">
      <c r="A25" s="789"/>
      <c r="B25" s="789"/>
      <c r="E25" s="197" t="s">
        <v>362</v>
      </c>
      <c r="F25" s="170"/>
      <c r="G25" s="789"/>
      <c r="H25" s="789"/>
      <c r="K25" s="242" t="s">
        <v>1018</v>
      </c>
      <c r="L25" s="340">
        <f>910+40</f>
        <v>950</v>
      </c>
      <c r="M25" s="789"/>
      <c r="N25" s="789"/>
      <c r="Q25" s="242" t="s">
        <v>1026</v>
      </c>
      <c r="R25" s="340">
        <v>0</v>
      </c>
      <c r="S25" s="789"/>
      <c r="T25" s="789"/>
      <c r="W25" s="143" t="s">
        <v>1082</v>
      </c>
      <c r="X25" s="340">
        <v>110.58</v>
      </c>
      <c r="Y25" s="789"/>
      <c r="Z25" s="789"/>
      <c r="AE25" s="789"/>
      <c r="AF25" s="789"/>
      <c r="AK25" s="789"/>
      <c r="AL25" s="789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9"/>
      <c r="AX25" s="789"/>
      <c r="AY25" s="143"/>
      <c r="AZ25" s="204"/>
      <c r="BA25" s="789"/>
      <c r="BB25" s="789"/>
      <c r="BE25" s="143" t="s">
        <v>1190</v>
      </c>
      <c r="BF25" s="204">
        <f>6.5*2</f>
        <v>13</v>
      </c>
      <c r="BG25" s="789"/>
      <c r="BH25" s="789"/>
      <c r="BK25" s="257" t="s">
        <v>1190</v>
      </c>
      <c r="BL25" s="204">
        <f>6.5*2</f>
        <v>13</v>
      </c>
      <c r="BM25" s="789"/>
      <c r="BN25" s="789"/>
      <c r="BQ25" s="257" t="s">
        <v>1190</v>
      </c>
      <c r="BR25" s="204">
        <v>13</v>
      </c>
      <c r="BS25" s="789"/>
      <c r="BT25" s="789"/>
      <c r="BW25" s="257" t="s">
        <v>1190</v>
      </c>
      <c r="BX25" s="204">
        <v>13</v>
      </c>
      <c r="BY25" s="789"/>
      <c r="BZ25" s="789"/>
      <c r="CC25" s="257" t="s">
        <v>1190</v>
      </c>
      <c r="CD25" s="204">
        <v>13</v>
      </c>
      <c r="CE25" s="789"/>
      <c r="CF25" s="789"/>
      <c r="CI25" s="257" t="s">
        <v>1190</v>
      </c>
      <c r="CJ25" s="204">
        <v>13</v>
      </c>
      <c r="CK25" s="197" t="s">
        <v>506</v>
      </c>
      <c r="CL25" s="529"/>
      <c r="CO25" s="257" t="s">
        <v>1329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1382</v>
      </c>
      <c r="CX25" s="527" t="s">
        <v>1361</v>
      </c>
      <c r="DA25" s="269" t="s">
        <v>1098</v>
      </c>
      <c r="DB25" s="217">
        <v>52.3</v>
      </c>
      <c r="DC25" s="527" t="s">
        <v>1384</v>
      </c>
      <c r="DD25" s="527">
        <v>81</v>
      </c>
      <c r="DG25" s="270" t="s">
        <v>1457</v>
      </c>
      <c r="DH25" s="274">
        <v>378.81</v>
      </c>
      <c r="DI25" s="218" t="s">
        <v>1443</v>
      </c>
      <c r="DJ25" s="472">
        <v>10000</v>
      </c>
      <c r="DM25" s="256" t="s">
        <v>1430</v>
      </c>
      <c r="DN25" s="261"/>
      <c r="DO25" s="218" t="s">
        <v>1490</v>
      </c>
      <c r="DP25" s="472">
        <v>5000</v>
      </c>
      <c r="DS25" s="256" t="s">
        <v>1532</v>
      </c>
      <c r="DT25" s="261">
        <v>64</v>
      </c>
      <c r="DU25" s="218" t="s">
        <v>1490</v>
      </c>
      <c r="DV25" s="472">
        <v>5000</v>
      </c>
      <c r="DY25" s="787" t="s">
        <v>1531</v>
      </c>
      <c r="DZ25" s="788"/>
      <c r="EA25" s="218" t="s">
        <v>1488</v>
      </c>
      <c r="EB25" s="472">
        <v>5000</v>
      </c>
      <c r="EE25" s="530" t="s">
        <v>1618</v>
      </c>
      <c r="EF25" s="309"/>
      <c r="EH25" s="285" t="s">
        <v>1628</v>
      </c>
      <c r="EI25" s="318">
        <v>0</v>
      </c>
      <c r="EL25" s="297" t="s">
        <v>1652</v>
      </c>
      <c r="EM25" s="340">
        <v>7</v>
      </c>
      <c r="EN25" s="285" t="s">
        <v>1628</v>
      </c>
      <c r="EO25" s="318">
        <v>0</v>
      </c>
      <c r="ER25" s="783" t="s">
        <v>1531</v>
      </c>
      <c r="ES25" s="783"/>
      <c r="ET25" s="285" t="s">
        <v>1697</v>
      </c>
      <c r="EU25" s="318">
        <v>20000</v>
      </c>
      <c r="EW25" s="784"/>
      <c r="EX25" s="297" t="s">
        <v>1723</v>
      </c>
      <c r="EY25" s="340">
        <v>40.299999999999997</v>
      </c>
      <c r="EZ25" s="285" t="s">
        <v>1698</v>
      </c>
      <c r="FA25" s="318">
        <v>10000</v>
      </c>
      <c r="FB25" s="204"/>
      <c r="FD25" s="297" t="s">
        <v>1750</v>
      </c>
      <c r="FE25" s="340">
        <v>33.9</v>
      </c>
      <c r="FF25" s="285" t="s">
        <v>1698</v>
      </c>
      <c r="FG25" s="318">
        <v>15000</v>
      </c>
      <c r="FJ25" s="297" t="s">
        <v>1818</v>
      </c>
      <c r="FK25" s="340">
        <v>7.3</v>
      </c>
      <c r="FL25" s="285" t="s">
        <v>1694</v>
      </c>
      <c r="FM25" s="318">
        <v>3000</v>
      </c>
      <c r="FN25" s="204"/>
      <c r="FO25" s="244"/>
      <c r="FP25" s="299" t="s">
        <v>1507</v>
      </c>
      <c r="FQ25" s="340">
        <f>7.74+13.99+8.86+10.74+6.17</f>
        <v>47.5</v>
      </c>
      <c r="FR25" s="285" t="s">
        <v>1694</v>
      </c>
      <c r="FS25" s="318">
        <v>1000</v>
      </c>
      <c r="FT25" s="340" t="s">
        <v>1861</v>
      </c>
      <c r="FU25" s="340">
        <f>1346.59-FU20</f>
        <v>146.58999999999992</v>
      </c>
      <c r="FV25" s="299" t="s">
        <v>1507</v>
      </c>
      <c r="FW25" s="340">
        <f>15.09+8.94+6.74+13.3+10+14.76</f>
        <v>68.830000000000013</v>
      </c>
      <c r="FX25" s="285" t="s">
        <v>1694</v>
      </c>
      <c r="FY25" s="318">
        <v>3000</v>
      </c>
      <c r="GB25" s="299" t="s">
        <v>1918</v>
      </c>
      <c r="GC25" s="340">
        <v>6</v>
      </c>
      <c r="GD25" s="285" t="s">
        <v>1694</v>
      </c>
      <c r="GE25" s="318">
        <v>3000</v>
      </c>
      <c r="GF25" s="197"/>
      <c r="GH25" s="299" t="s">
        <v>1967</v>
      </c>
      <c r="GI25" s="340">
        <v>11.24</v>
      </c>
      <c r="GJ25" s="285" t="s">
        <v>1751</v>
      </c>
      <c r="GK25" s="318">
        <v>25000</v>
      </c>
      <c r="GN25" s="299" t="s">
        <v>1532</v>
      </c>
      <c r="GO25" s="340" t="s">
        <v>1599</v>
      </c>
      <c r="GP25" s="285" t="s">
        <v>1978</v>
      </c>
      <c r="GQ25" s="318">
        <v>25000</v>
      </c>
      <c r="GT25" s="299" t="s">
        <v>1949</v>
      </c>
      <c r="GU25" s="340">
        <f>19.42+13.02+12.12+17.99+16.7+14.44</f>
        <v>93.69</v>
      </c>
      <c r="GV25" s="285" t="s">
        <v>1633</v>
      </c>
      <c r="GW25" s="318">
        <v>2000</v>
      </c>
      <c r="GX25" s="204"/>
      <c r="GZ25" s="297" t="s">
        <v>2077</v>
      </c>
      <c r="HA25" s="340">
        <f>35+4</f>
        <v>39</v>
      </c>
      <c r="HB25" s="285" t="s">
        <v>1978</v>
      </c>
      <c r="HC25" s="318">
        <v>25000</v>
      </c>
      <c r="HD25" s="340" t="s">
        <v>2107</v>
      </c>
      <c r="HF25" s="299" t="s">
        <v>2126</v>
      </c>
      <c r="HG25" s="340">
        <f>9+10.96</f>
        <v>19.96</v>
      </c>
      <c r="HH25" s="204" t="s">
        <v>1805</v>
      </c>
      <c r="HI25" s="318" t="s">
        <v>1076</v>
      </c>
      <c r="HJ25" s="312" t="s">
        <v>1923</v>
      </c>
      <c r="HK25" s="263">
        <f>SUM(HM8:HM9)</f>
        <v>2450.5333333333333</v>
      </c>
      <c r="HL25" s="217" t="s">
        <v>2155</v>
      </c>
      <c r="HM25" s="217">
        <v>530</v>
      </c>
      <c r="HN25" s="285" t="s">
        <v>1634</v>
      </c>
      <c r="HO25" s="318">
        <v>4000</v>
      </c>
      <c r="HQ25" s="507"/>
      <c r="HR25" s="297" t="s">
        <v>2180</v>
      </c>
      <c r="HS25" s="340">
        <v>26.6</v>
      </c>
      <c r="HT25" s="483" t="s">
        <v>2181</v>
      </c>
      <c r="HV25" s="243" t="s">
        <v>1923</v>
      </c>
      <c r="HW25" s="263">
        <f>SUM(HY10:HY15)</f>
        <v>185426.5633333333</v>
      </c>
      <c r="HX25" s="297" t="s">
        <v>2243</v>
      </c>
      <c r="HY25" s="340">
        <f>10+10</f>
        <v>20</v>
      </c>
      <c r="HZ25" s="285" t="s">
        <v>2207</v>
      </c>
      <c r="IA25" s="318">
        <v>-13000</v>
      </c>
      <c r="IB25" s="777" t="s">
        <v>2129</v>
      </c>
      <c r="IC25" s="777"/>
      <c r="ID25" s="299" t="s">
        <v>2202</v>
      </c>
      <c r="IE25" s="340">
        <v>32</v>
      </c>
      <c r="IF25" s="474" t="s">
        <v>2386</v>
      </c>
      <c r="IG25" s="340">
        <v>4</v>
      </c>
      <c r="IH25" s="340" t="s">
        <v>2266</v>
      </c>
      <c r="II25" s="320"/>
      <c r="IJ25" s="297" t="s">
        <v>2324</v>
      </c>
      <c r="IK25" s="340">
        <v>10</v>
      </c>
      <c r="IL25" s="474" t="s">
        <v>2386</v>
      </c>
      <c r="IM25" s="340">
        <v>4</v>
      </c>
      <c r="IO25" s="320"/>
      <c r="IP25" s="297" t="s">
        <v>2414</v>
      </c>
      <c r="IQ25" s="202">
        <v>88.51</v>
      </c>
      <c r="IR25" s="474" t="s">
        <v>2426</v>
      </c>
      <c r="IS25" s="340" t="s">
        <v>2435</v>
      </c>
      <c r="IT25" s="310" t="s">
        <v>1387</v>
      </c>
      <c r="IU25" s="311">
        <f>SUM(IW10:IW12)</f>
        <v>2514.06</v>
      </c>
      <c r="IV25" s="297" t="s">
        <v>2735</v>
      </c>
      <c r="IW25" s="202">
        <v>54.7</v>
      </c>
      <c r="IX25" s="325"/>
      <c r="IY25" s="325"/>
      <c r="IZ25" s="499"/>
      <c r="JA25" s="327"/>
      <c r="JB25" s="299" t="s">
        <v>2303</v>
      </c>
      <c r="JC25" s="202">
        <f>17.98+13.67+17.8+15.37+10+15+12.85</f>
        <v>102.67</v>
      </c>
      <c r="JD25" s="325"/>
      <c r="JF25" s="506"/>
      <c r="JH25" s="297" t="s">
        <v>2605</v>
      </c>
      <c r="JI25" s="202">
        <v>20</v>
      </c>
      <c r="JJ25" s="325" t="s">
        <v>2402</v>
      </c>
      <c r="JN25" s="297" t="s">
        <v>2629</v>
      </c>
      <c r="JO25" s="202">
        <v>16.100000000000001</v>
      </c>
      <c r="JP25" s="325" t="s">
        <v>2402</v>
      </c>
      <c r="JQ25" s="259"/>
      <c r="JR25" s="414" t="s">
        <v>1922</v>
      </c>
      <c r="JS25" s="260">
        <f>SUM(JU6:JU7)</f>
        <v>3900.06</v>
      </c>
      <c r="JT25" s="297" t="s">
        <v>2691</v>
      </c>
      <c r="JU25" s="202">
        <v>68.900000000000006</v>
      </c>
      <c r="JV25" s="325" t="s">
        <v>2355</v>
      </c>
      <c r="JW25" s="202"/>
      <c r="JZ25" s="299" t="s">
        <v>2773</v>
      </c>
      <c r="KA25" s="202">
        <v>219</v>
      </c>
      <c r="KB25" s="325"/>
      <c r="KC25" s="202"/>
      <c r="KF25" s="297" t="s">
        <v>2817</v>
      </c>
      <c r="KG25" s="335">
        <v>25.9</v>
      </c>
      <c r="KH25" s="319" t="s">
        <v>2639</v>
      </c>
      <c r="KI25" s="259" t="s">
        <v>2088</v>
      </c>
      <c r="KJ25" s="204" t="s">
        <v>2940</v>
      </c>
      <c r="KK25" s="340">
        <f>20000*(1-0.97971)</f>
        <v>405.80000000000058</v>
      </c>
      <c r="KL25" s="143" t="s">
        <v>2303</v>
      </c>
      <c r="KM25" s="202">
        <f>13.32+12.76+19.15+15.12+10.3+10</f>
        <v>80.649999999999991</v>
      </c>
      <c r="KN25" s="319" t="s">
        <v>2636</v>
      </c>
      <c r="KO25" s="334">
        <v>1334</v>
      </c>
      <c r="KP25" s="514">
        <f>SUM(KQ21:KQ24)</f>
        <v>9265.4599999999991</v>
      </c>
      <c r="KQ25" s="531" t="s">
        <v>3067</v>
      </c>
      <c r="KR25" s="143" t="s">
        <v>1190</v>
      </c>
      <c r="KS25" s="202">
        <f>15+6.5</f>
        <v>21.5</v>
      </c>
      <c r="KT25" s="319" t="s">
        <v>2900</v>
      </c>
      <c r="KU25" s="259">
        <v>10</v>
      </c>
      <c r="KV25" s="204"/>
      <c r="KX25" s="143" t="s">
        <v>3029</v>
      </c>
      <c r="KY25" s="286">
        <v>176.15</v>
      </c>
      <c r="KZ25" s="285" t="s">
        <v>3007</v>
      </c>
      <c r="LA25" s="259">
        <v>90</v>
      </c>
      <c r="LB25" s="638"/>
      <c r="LC25" s="638"/>
      <c r="LD25" s="143" t="s">
        <v>3098</v>
      </c>
      <c r="LE25" s="202">
        <v>30</v>
      </c>
      <c r="LF25" s="626" t="s">
        <v>2904</v>
      </c>
      <c r="LG25" s="259"/>
      <c r="LH25" s="678"/>
      <c r="LI25" s="677"/>
      <c r="LJ25" s="143" t="s">
        <v>3185</v>
      </c>
      <c r="LK25" s="274">
        <v>153.1</v>
      </c>
      <c r="LL25" s="649" t="s">
        <v>2355</v>
      </c>
      <c r="LM25" s="202"/>
      <c r="LN25" s="678" t="s">
        <v>3212</v>
      </c>
      <c r="LO25" s="202">
        <v>3.95</v>
      </c>
      <c r="LP25" s="143" t="s">
        <v>1190</v>
      </c>
      <c r="LQ25" s="202">
        <v>10</v>
      </c>
      <c r="LR25" s="682" t="s">
        <v>2384</v>
      </c>
      <c r="LS25" s="259">
        <v>1000</v>
      </c>
      <c r="LT25" s="726" t="s">
        <v>2623</v>
      </c>
      <c r="LU25" s="690"/>
      <c r="LV25" s="143" t="s">
        <v>2643</v>
      </c>
      <c r="LW25" s="202"/>
      <c r="LX25" s="734" t="s">
        <v>2384</v>
      </c>
      <c r="LY25" s="259">
        <v>1000</v>
      </c>
      <c r="LZ25" s="460">
        <v>45350</v>
      </c>
    </row>
    <row r="26" spans="1:338">
      <c r="A26" s="789"/>
      <c r="B26" s="789"/>
      <c r="F26" s="194"/>
      <c r="G26" s="789"/>
      <c r="H26" s="789"/>
      <c r="M26" s="793" t="s">
        <v>506</v>
      </c>
      <c r="N26" s="793"/>
      <c r="Q26" s="242" t="s">
        <v>1019</v>
      </c>
      <c r="R26" s="340">
        <v>0</v>
      </c>
      <c r="S26" s="793" t="s">
        <v>506</v>
      </c>
      <c r="T26" s="793"/>
      <c r="W26" s="143" t="s">
        <v>1048</v>
      </c>
      <c r="X26" s="340">
        <v>60.75</v>
      </c>
      <c r="Y26" s="789"/>
      <c r="Z26" s="789"/>
      <c r="AC26" s="218" t="s">
        <v>1089</v>
      </c>
      <c r="AD26" s="218"/>
      <c r="AE26" s="793" t="s">
        <v>506</v>
      </c>
      <c r="AF26" s="793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1281</v>
      </c>
      <c r="CD26" s="204">
        <v>138.30000000000001</v>
      </c>
      <c r="CE26" s="197" t="s">
        <v>506</v>
      </c>
      <c r="CF26" s="529"/>
      <c r="CI26" s="257" t="s">
        <v>1281</v>
      </c>
      <c r="CJ26" s="204">
        <v>137.85</v>
      </c>
      <c r="CK26" s="325" t="s">
        <v>1292</v>
      </c>
      <c r="CL26" s="261"/>
      <c r="CO26" s="257" t="s">
        <v>1298</v>
      </c>
      <c r="CP26" s="204">
        <v>64</v>
      </c>
      <c r="CQ26" s="197" t="s">
        <v>506</v>
      </c>
      <c r="CR26" s="529"/>
      <c r="CU26" s="264" t="s">
        <v>1351</v>
      </c>
      <c r="CV26" s="204">
        <f>16.33+8.5</f>
        <v>24.83</v>
      </c>
      <c r="CW26" s="527" t="s">
        <v>1348</v>
      </c>
      <c r="CX26" s="533" t="s">
        <v>1359</v>
      </c>
      <c r="DA26" s="269" t="s">
        <v>1379</v>
      </c>
      <c r="DB26" s="217">
        <v>43.31</v>
      </c>
      <c r="DC26" s="527" t="s">
        <v>1383</v>
      </c>
      <c r="DD26" s="527">
        <v>101</v>
      </c>
      <c r="DG26" s="267" t="s">
        <v>1372</v>
      </c>
      <c r="DH26" s="274">
        <f>395.9+637.65</f>
        <v>1033.55</v>
      </c>
      <c r="DI26" s="218" t="s">
        <v>1450</v>
      </c>
      <c r="DJ26" s="377" t="s">
        <v>1076</v>
      </c>
      <c r="DM26" s="256" t="s">
        <v>1190</v>
      </c>
      <c r="DN26" s="261">
        <f>13+30</f>
        <v>43</v>
      </c>
      <c r="DO26" s="218" t="s">
        <v>1488</v>
      </c>
      <c r="DP26" s="472">
        <v>5000</v>
      </c>
      <c r="DS26" s="256" t="s">
        <v>1561</v>
      </c>
      <c r="DT26" s="261">
        <v>35</v>
      </c>
      <c r="DU26" s="218" t="s">
        <v>1488</v>
      </c>
      <c r="DV26" s="472">
        <v>5000</v>
      </c>
      <c r="DY26" s="528">
        <v>100</v>
      </c>
      <c r="DZ26" s="281">
        <f>DV12+DY26-EB11</f>
        <v>140</v>
      </c>
      <c r="EA26" s="218" t="s">
        <v>1491</v>
      </c>
      <c r="EB26" s="472">
        <v>5000</v>
      </c>
      <c r="EE26" s="218" t="s">
        <v>1615</v>
      </c>
      <c r="EF26" s="218"/>
      <c r="EG26" s="467"/>
      <c r="EH26" s="483" t="s">
        <v>1627</v>
      </c>
      <c r="EI26" s="483"/>
      <c r="EL26" s="297" t="s">
        <v>1646</v>
      </c>
      <c r="EM26" s="340">
        <v>9.9</v>
      </c>
      <c r="EN26" s="483" t="s">
        <v>1627</v>
      </c>
      <c r="EO26" s="483"/>
      <c r="ER26" s="534">
        <f>200+250</f>
        <v>450</v>
      </c>
      <c r="ES26" s="307">
        <f>EO9+ER26-EU9</f>
        <v>260</v>
      </c>
      <c r="ET26" s="285" t="s">
        <v>1562</v>
      </c>
      <c r="EU26" s="318">
        <v>10000</v>
      </c>
      <c r="EX26" s="783" t="s">
        <v>1531</v>
      </c>
      <c r="EY26" s="783"/>
      <c r="EZ26" s="285" t="s">
        <v>1697</v>
      </c>
      <c r="FA26" s="318">
        <v>30000</v>
      </c>
      <c r="FD26" s="297" t="s">
        <v>1760</v>
      </c>
      <c r="FE26" s="340">
        <v>57.12</v>
      </c>
      <c r="FF26" s="285" t="s">
        <v>1697</v>
      </c>
      <c r="FG26" s="318">
        <v>30000</v>
      </c>
      <c r="FJ26" s="297" t="s">
        <v>1802</v>
      </c>
      <c r="FK26" s="340">
        <f>40.89-20</f>
        <v>20.89</v>
      </c>
      <c r="FL26" s="285" t="s">
        <v>1694</v>
      </c>
      <c r="FM26" s="318">
        <v>1000</v>
      </c>
      <c r="FN26" s="204"/>
      <c r="FO26" s="204"/>
      <c r="FP26" s="297" t="s">
        <v>1851</v>
      </c>
      <c r="FQ26" s="340">
        <v>49.7</v>
      </c>
      <c r="FR26" s="285" t="s">
        <v>1697</v>
      </c>
      <c r="FS26" s="318">
        <v>10000</v>
      </c>
      <c r="FT26" s="197" t="s">
        <v>1862</v>
      </c>
      <c r="FU26" s="340">
        <f>242.32-FU21</f>
        <v>42.319999999999993</v>
      </c>
      <c r="FV26" s="297" t="s">
        <v>1866</v>
      </c>
      <c r="FW26" s="340">
        <v>70</v>
      </c>
      <c r="FX26" s="285" t="s">
        <v>1694</v>
      </c>
      <c r="FY26" s="318">
        <v>1000</v>
      </c>
      <c r="FZ26" s="204"/>
      <c r="GB26" s="299" t="s">
        <v>1975</v>
      </c>
      <c r="GC26" s="340">
        <v>9</v>
      </c>
      <c r="GD26" s="285" t="s">
        <v>1694</v>
      </c>
      <c r="GE26" s="318">
        <v>1000</v>
      </c>
      <c r="GH26" s="299" t="s">
        <v>1975</v>
      </c>
      <c r="GI26" s="340">
        <v>9</v>
      </c>
      <c r="GJ26" s="285" t="s">
        <v>1693</v>
      </c>
      <c r="GK26" s="318">
        <v>2000</v>
      </c>
      <c r="GL26" s="204"/>
      <c r="GN26" s="299" t="s">
        <v>1975</v>
      </c>
      <c r="GO26" s="340">
        <v>9</v>
      </c>
      <c r="GP26" s="285" t="s">
        <v>1633</v>
      </c>
      <c r="GQ26" s="318">
        <v>2000</v>
      </c>
      <c r="GR26" s="197"/>
      <c r="GT26" s="297" t="s">
        <v>2015</v>
      </c>
      <c r="GU26" s="340">
        <v>8</v>
      </c>
      <c r="GV26" s="285" t="s">
        <v>1634</v>
      </c>
      <c r="GW26" s="318">
        <v>4000</v>
      </c>
      <c r="GX26" s="285"/>
      <c r="GY26" s="244"/>
      <c r="GZ26" s="297" t="s">
        <v>2073</v>
      </c>
      <c r="HA26" s="340">
        <v>20</v>
      </c>
      <c r="HB26" s="285" t="s">
        <v>1633</v>
      </c>
      <c r="HC26" s="318">
        <v>2000</v>
      </c>
      <c r="HD26" s="325"/>
      <c r="HF26" s="299" t="s">
        <v>1532</v>
      </c>
      <c r="HG26" s="340">
        <v>64</v>
      </c>
      <c r="HH26" s="483" t="s">
        <v>1627</v>
      </c>
      <c r="HI26" s="332"/>
      <c r="HJ26" s="304" t="s">
        <v>1387</v>
      </c>
      <c r="HK26" s="340">
        <v>0</v>
      </c>
      <c r="HL26" s="535">
        <v>32.770000000000003</v>
      </c>
      <c r="HM26" s="217" t="s">
        <v>2154</v>
      </c>
      <c r="HN26" s="483" t="s">
        <v>1627</v>
      </c>
      <c r="HO26" s="332"/>
      <c r="HP26" s="777" t="s">
        <v>2129</v>
      </c>
      <c r="HQ26" s="777"/>
      <c r="HR26" s="297" t="s">
        <v>2186</v>
      </c>
      <c r="HS26" s="340">
        <v>10</v>
      </c>
      <c r="HT26" s="474" t="s">
        <v>2386</v>
      </c>
      <c r="HU26" s="340">
        <v>4</v>
      </c>
      <c r="HV26" s="300" t="s">
        <v>2124</v>
      </c>
      <c r="HW26" s="340">
        <f>SUM(HY9:HY9)</f>
        <v>535</v>
      </c>
      <c r="HX26" s="297" t="s">
        <v>2305</v>
      </c>
      <c r="HY26" s="340">
        <v>46.73</v>
      </c>
      <c r="HZ26" s="285" t="s">
        <v>2222</v>
      </c>
      <c r="IA26" s="318">
        <v>-70000</v>
      </c>
      <c r="IB26" s="305" t="s">
        <v>1922</v>
      </c>
      <c r="IC26" s="263">
        <f>SUM(IE7:IE7)</f>
        <v>1900.11</v>
      </c>
      <c r="ID26" s="299" t="s">
        <v>2303</v>
      </c>
      <c r="IE26" s="505">
        <f>11.74+10+9.21+17.04+10+12.34+15.71+10+15.63+10</f>
        <v>121.66999999999999</v>
      </c>
      <c r="IF26" s="204" t="s">
        <v>2279</v>
      </c>
      <c r="IG26" s="318"/>
      <c r="IH26" s="506" t="s">
        <v>2326</v>
      </c>
      <c r="II26" s="327">
        <v>19.45</v>
      </c>
      <c r="IJ26" s="297" t="s">
        <v>2377</v>
      </c>
      <c r="IK26" s="340">
        <f>91.7+12</f>
        <v>103.7</v>
      </c>
      <c r="IL26" s="325" t="s">
        <v>2200</v>
      </c>
      <c r="IM26" s="332"/>
      <c r="IN26" s="506"/>
      <c r="IO26" s="327"/>
      <c r="IP26" s="336" t="s">
        <v>2128</v>
      </c>
      <c r="IQ26" s="202">
        <v>58.4</v>
      </c>
      <c r="IR26" s="325" t="s">
        <v>2412</v>
      </c>
      <c r="IS26" s="340">
        <v>1000</v>
      </c>
      <c r="IT26" s="300" t="s">
        <v>2124</v>
      </c>
      <c r="IU26" s="311">
        <f>SUM(IW13:IW13)</f>
        <v>170</v>
      </c>
      <c r="IV26" s="340" t="s">
        <v>2897</v>
      </c>
      <c r="IW26" s="261">
        <f>2+59+11+23</f>
        <v>95</v>
      </c>
      <c r="IX26" s="325"/>
      <c r="IZ26" s="499"/>
      <c r="JA26" s="327"/>
      <c r="JB26" s="297" t="s">
        <v>2561</v>
      </c>
      <c r="JC26" s="202">
        <v>10</v>
      </c>
      <c r="JD26" s="474"/>
      <c r="JH26" s="297" t="s">
        <v>2588</v>
      </c>
      <c r="JI26" s="202">
        <v>30</v>
      </c>
      <c r="JJ26" s="325" t="s">
        <v>2355</v>
      </c>
      <c r="JL26" s="457" t="s">
        <v>2623</v>
      </c>
      <c r="JM26" s="457"/>
      <c r="JN26" s="297" t="s">
        <v>2736</v>
      </c>
      <c r="JO26" s="335">
        <v>42.9</v>
      </c>
      <c r="JP26" s="325" t="s">
        <v>2630</v>
      </c>
      <c r="JQ26" s="259">
        <v>15</v>
      </c>
      <c r="JR26" s="312" t="s">
        <v>2689</v>
      </c>
      <c r="JS26" s="260">
        <f>SUM(JU11:JU13)</f>
        <v>5390.235999999999</v>
      </c>
      <c r="JT26" s="297" t="s">
        <v>2732</v>
      </c>
      <c r="JU26" s="202">
        <v>41.5</v>
      </c>
      <c r="JV26" s="325"/>
      <c r="JW26" s="202"/>
      <c r="JZ26" s="299" t="s">
        <v>2870</v>
      </c>
      <c r="KA26" s="202">
        <v>30</v>
      </c>
      <c r="KB26" s="325" t="s">
        <v>2355</v>
      </c>
      <c r="KC26" s="202"/>
      <c r="KF26" s="297" t="s">
        <v>2827</v>
      </c>
      <c r="KG26" s="335">
        <v>63.1</v>
      </c>
      <c r="KH26" s="319" t="s">
        <v>2552</v>
      </c>
      <c r="KI26" s="259">
        <v>15</v>
      </c>
      <c r="KL26" s="297" t="s">
        <v>2931</v>
      </c>
      <c r="KM26" s="202">
        <f>80+115</f>
        <v>195</v>
      </c>
      <c r="KN26" s="483" t="s">
        <v>2955</v>
      </c>
      <c r="KO26" s="334"/>
      <c r="KP26" s="525"/>
      <c r="KQ26" s="538"/>
      <c r="KR26" s="143" t="s">
        <v>2643</v>
      </c>
      <c r="KS26" s="202">
        <f>14.32+9+9</f>
        <v>32.32</v>
      </c>
      <c r="KT26" s="285" t="s">
        <v>3007</v>
      </c>
      <c r="KU26" s="259">
        <v>100</v>
      </c>
      <c r="KV26" s="599"/>
      <c r="KW26" s="598"/>
      <c r="KX26" s="143" t="s">
        <v>2454</v>
      </c>
      <c r="KY26" s="202">
        <v>62.98</v>
      </c>
      <c r="KZ26" s="474" t="s">
        <v>2384</v>
      </c>
      <c r="LA26" s="259">
        <v>1000</v>
      </c>
      <c r="LB26" s="638"/>
      <c r="LC26" s="638"/>
      <c r="LD26" s="143" t="s">
        <v>3099</v>
      </c>
      <c r="LE26" s="202">
        <v>250</v>
      </c>
      <c r="LF26" s="619" t="s">
        <v>2402</v>
      </c>
      <c r="LG26" s="202"/>
      <c r="LH26" s="677"/>
      <c r="LI26" s="677"/>
      <c r="LJ26" s="143" t="s">
        <v>2643</v>
      </c>
      <c r="LK26" s="202">
        <f>13.57+9*2</f>
        <v>31.57</v>
      </c>
      <c r="LL26" s="667"/>
      <c r="LM26" s="259"/>
      <c r="LN26" s="678" t="s">
        <v>3231</v>
      </c>
      <c r="LO26" s="202">
        <v>91.25</v>
      </c>
      <c r="LP26" s="143" t="s">
        <v>2643</v>
      </c>
      <c r="LQ26" s="202">
        <f>13.57+9*2</f>
        <v>31.57</v>
      </c>
      <c r="LR26" s="679" t="s">
        <v>2355</v>
      </c>
      <c r="LS26" s="202"/>
      <c r="LT26" s="442" t="s">
        <v>1922</v>
      </c>
      <c r="LU26" s="261">
        <f>SUM(LW6:LW9)</f>
        <v>0</v>
      </c>
      <c r="LV26" s="143" t="s">
        <v>2303</v>
      </c>
      <c r="LW26" s="202"/>
      <c r="LX26" s="731" t="s">
        <v>2355</v>
      </c>
      <c r="LY26" s="202"/>
    </row>
    <row r="27" spans="1:338" ht="12.75" customHeight="1">
      <c r="A27" s="789"/>
      <c r="B27" s="789"/>
      <c r="E27" s="193" t="s">
        <v>360</v>
      </c>
      <c r="F27" s="194"/>
      <c r="G27" s="789"/>
      <c r="H27" s="789"/>
      <c r="K27" s="143" t="s">
        <v>1017</v>
      </c>
      <c r="L27" s="340">
        <f>60</f>
        <v>60</v>
      </c>
      <c r="M27" s="793" t="s">
        <v>992</v>
      </c>
      <c r="N27" s="793"/>
      <c r="Q27" s="242" t="s">
        <v>1070</v>
      </c>
      <c r="R27" s="204">
        <v>200</v>
      </c>
      <c r="S27" s="793" t="s">
        <v>992</v>
      </c>
      <c r="T27" s="793"/>
      <c r="W27" s="143" t="s">
        <v>1016</v>
      </c>
      <c r="X27" s="340">
        <v>61.35</v>
      </c>
      <c r="Y27" s="793" t="s">
        <v>506</v>
      </c>
      <c r="Z27" s="793"/>
      <c r="AC27" s="218" t="s">
        <v>1085</v>
      </c>
      <c r="AD27" s="218">
        <f>53+207+63</f>
        <v>323</v>
      </c>
      <c r="AE27" s="793" t="s">
        <v>992</v>
      </c>
      <c r="AF27" s="793"/>
      <c r="AI27" s="340" t="s">
        <v>1671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1241</v>
      </c>
      <c r="BR27" s="204">
        <v>11</v>
      </c>
      <c r="BS27" s="197" t="s">
        <v>992</v>
      </c>
      <c r="BT27" s="532"/>
      <c r="BW27" s="257" t="s">
        <v>1276</v>
      </c>
      <c r="BX27" s="204">
        <v>11</v>
      </c>
      <c r="BY27" s="197" t="s">
        <v>992</v>
      </c>
      <c r="BZ27" s="529"/>
      <c r="CC27" s="257" t="s">
        <v>1140</v>
      </c>
      <c r="CD27" s="204">
        <v>11</v>
      </c>
      <c r="CE27" s="197" t="s">
        <v>992</v>
      </c>
      <c r="CF27" s="529"/>
      <c r="CI27" s="257" t="s">
        <v>1303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1364</v>
      </c>
      <c r="CV27" s="217">
        <f>72+11+5.8</f>
        <v>88.8</v>
      </c>
      <c r="CW27" s="527" t="s">
        <v>1352</v>
      </c>
      <c r="CX27" s="533" t="s">
        <v>1360</v>
      </c>
      <c r="DA27" s="269" t="s">
        <v>1374</v>
      </c>
      <c r="DB27" s="204">
        <v>60</v>
      </c>
      <c r="DC27" s="527"/>
      <c r="DD27" s="533"/>
      <c r="DE27" s="217" t="s">
        <v>1415</v>
      </c>
      <c r="DG27" s="267" t="s">
        <v>1432</v>
      </c>
      <c r="DH27" s="277">
        <v>13.57</v>
      </c>
      <c r="DI27" s="218" t="s">
        <v>1444</v>
      </c>
      <c r="DJ27" s="377" t="s">
        <v>1076</v>
      </c>
      <c r="DM27" s="256" t="s">
        <v>1281</v>
      </c>
      <c r="DN27" s="261">
        <v>134.44999999999999</v>
      </c>
      <c r="DO27" s="218" t="s">
        <v>1491</v>
      </c>
      <c r="DP27" s="472">
        <v>5000</v>
      </c>
      <c r="DS27" s="256" t="s">
        <v>1507</v>
      </c>
      <c r="DT27" s="261">
        <f>12.32+17.25+(1.31*2)+9.98+13.82+14.98+2.1+2.02</f>
        <v>75.089999999999989</v>
      </c>
      <c r="DU27" s="218" t="s">
        <v>1491</v>
      </c>
      <c r="DV27" s="472">
        <v>5000</v>
      </c>
      <c r="DY27" s="530" t="s">
        <v>1612</v>
      </c>
      <c r="DZ27" s="309"/>
      <c r="EA27" s="218" t="s">
        <v>1480</v>
      </c>
      <c r="EB27" s="377" t="s">
        <v>686</v>
      </c>
      <c r="EE27" s="218" t="s">
        <v>1629</v>
      </c>
      <c r="EF27" s="218"/>
      <c r="EG27" s="298"/>
      <c r="EH27" s="285"/>
      <c r="EI27" s="285"/>
      <c r="EL27" s="297" t="s">
        <v>1643</v>
      </c>
      <c r="EM27" s="340">
        <v>64.849999999999994</v>
      </c>
      <c r="EN27" s="325" t="s">
        <v>1658</v>
      </c>
      <c r="EO27" s="263">
        <v>807.9</v>
      </c>
      <c r="ER27" s="309" t="s">
        <v>1710</v>
      </c>
      <c r="ES27" s="309"/>
      <c r="ET27" s="285" t="s">
        <v>1492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1562</v>
      </c>
      <c r="FA27" s="318">
        <v>11010</v>
      </c>
      <c r="FD27" s="783" t="s">
        <v>1741</v>
      </c>
      <c r="FE27" s="783"/>
      <c r="FF27" s="285" t="s">
        <v>1562</v>
      </c>
      <c r="FG27" s="318">
        <v>11010</v>
      </c>
      <c r="FJ27" s="297" t="s">
        <v>1813</v>
      </c>
      <c r="FK27" s="340">
        <v>8</v>
      </c>
      <c r="FL27" s="204" t="s">
        <v>1789</v>
      </c>
      <c r="FM27" s="318" t="s">
        <v>1076</v>
      </c>
      <c r="FN27" s="204"/>
      <c r="FP27" s="297" t="s">
        <v>1825</v>
      </c>
      <c r="FQ27" s="340">
        <v>17.399999999999999</v>
      </c>
      <c r="FR27" s="285" t="s">
        <v>1562</v>
      </c>
      <c r="FS27" s="318">
        <v>1010</v>
      </c>
      <c r="FT27" s="340" t="s">
        <v>1876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1805</v>
      </c>
      <c r="FY27" s="318">
        <v>100</v>
      </c>
      <c r="FZ27" s="285"/>
      <c r="GA27" s="244"/>
      <c r="GB27" s="299" t="s">
        <v>1507</v>
      </c>
      <c r="GC27" s="340">
        <f>16.06+16.53+14.35+15.3+15.91+1.41+13.3</f>
        <v>92.86</v>
      </c>
      <c r="GD27" s="204" t="s">
        <v>1805</v>
      </c>
      <c r="GE27" s="318">
        <v>200</v>
      </c>
      <c r="GH27" s="299" t="s">
        <v>1948</v>
      </c>
      <c r="GI27" s="340">
        <v>20</v>
      </c>
      <c r="GJ27" s="285" t="s">
        <v>1694</v>
      </c>
      <c r="GK27" s="318">
        <v>4000</v>
      </c>
      <c r="GL27" s="285"/>
      <c r="GM27" s="244"/>
      <c r="GN27" s="299" t="s">
        <v>2000</v>
      </c>
      <c r="GO27" s="340">
        <f>20+40+10+10</f>
        <v>80</v>
      </c>
      <c r="GP27" s="285" t="s">
        <v>1634</v>
      </c>
      <c r="GQ27" s="318">
        <v>4000</v>
      </c>
      <c r="GT27" s="297" t="s">
        <v>2030</v>
      </c>
      <c r="GU27" s="340">
        <f>15.74+43.21</f>
        <v>58.95</v>
      </c>
      <c r="GV27" s="204" t="s">
        <v>1805</v>
      </c>
      <c r="GW27" s="318">
        <v>300</v>
      </c>
      <c r="GZ27" s="297" t="s">
        <v>2085</v>
      </c>
      <c r="HA27" s="340">
        <v>20</v>
      </c>
      <c r="HB27" s="285" t="s">
        <v>1634</v>
      </c>
      <c r="HC27" s="318">
        <v>4000</v>
      </c>
      <c r="HD27" s="325"/>
      <c r="HE27" s="244"/>
      <c r="HF27" s="299" t="s">
        <v>1949</v>
      </c>
      <c r="HG27" s="340">
        <f>12.57+14.64+15.52+10+15.22+15.49+15.3</f>
        <v>98.74</v>
      </c>
      <c r="HH27" s="325" t="s">
        <v>2109</v>
      </c>
      <c r="HI27" s="335">
        <v>74.900000000000006</v>
      </c>
      <c r="HJ27" s="301" t="s">
        <v>2124</v>
      </c>
      <c r="HK27" s="340">
        <v>0</v>
      </c>
      <c r="HL27" s="536" t="s">
        <v>2152</v>
      </c>
      <c r="HM27" s="537">
        <f>HI16+HK31-HO18</f>
        <v>240</v>
      </c>
      <c r="HN27" s="500" t="s">
        <v>2148</v>
      </c>
      <c r="HO27" s="332">
        <v>21</v>
      </c>
      <c r="HP27" s="305" t="s">
        <v>1922</v>
      </c>
      <c r="HQ27" s="263">
        <f>SUM(HS6:HS6)</f>
        <v>1900.09</v>
      </c>
      <c r="HR27" s="297" t="s">
        <v>2184</v>
      </c>
      <c r="HS27" s="340">
        <v>10</v>
      </c>
      <c r="HT27" s="474" t="s">
        <v>1963</v>
      </c>
      <c r="HU27" s="340">
        <v>1000</v>
      </c>
      <c r="HV27" s="299" t="s">
        <v>2125</v>
      </c>
      <c r="HW27" s="505">
        <f>SUM(HY16:HY24)</f>
        <v>1033.9166666666667</v>
      </c>
      <c r="HX27" s="297" t="s">
        <v>2245</v>
      </c>
      <c r="HY27" s="340">
        <f>32.37+27.07</f>
        <v>59.44</v>
      </c>
      <c r="HZ27" s="474" t="s">
        <v>2225</v>
      </c>
      <c r="IA27" s="260">
        <v>0</v>
      </c>
      <c r="IB27" s="243" t="s">
        <v>1923</v>
      </c>
      <c r="IC27" s="263">
        <f>SUM(IE10:IE17)</f>
        <v>51233.746666666666</v>
      </c>
      <c r="ID27" s="297" t="s">
        <v>2297</v>
      </c>
      <c r="IE27" s="340">
        <v>30</v>
      </c>
      <c r="IF27" s="325" t="s">
        <v>2294</v>
      </c>
      <c r="IG27" s="332">
        <v>127</v>
      </c>
      <c r="IH27" s="506" t="s">
        <v>2327</v>
      </c>
      <c r="II27" s="327">
        <v>19.45</v>
      </c>
      <c r="IJ27" s="297" t="s">
        <v>2365</v>
      </c>
      <c r="IK27" s="340">
        <v>6.8</v>
      </c>
      <c r="IL27" s="325" t="s">
        <v>2341</v>
      </c>
      <c r="IM27" s="340">
        <v>41</v>
      </c>
      <c r="IN27" s="506"/>
      <c r="IO27" s="327"/>
      <c r="IP27" s="297" t="s">
        <v>2413</v>
      </c>
      <c r="IQ27" s="202">
        <v>23.42</v>
      </c>
      <c r="IR27" s="325" t="s">
        <v>2409</v>
      </c>
      <c r="IS27" s="202">
        <v>260</v>
      </c>
      <c r="IT27" s="299" t="s">
        <v>2125</v>
      </c>
      <c r="IU27" s="311">
        <f>SUM(IW15:IW20)</f>
        <v>1471.3133333333333</v>
      </c>
      <c r="IV27" s="217" t="s">
        <v>2155</v>
      </c>
      <c r="IW27" s="274">
        <f>70+106+167+164+22.7</f>
        <v>529.70000000000005</v>
      </c>
      <c r="IX27" s="325"/>
      <c r="IZ27" s="506"/>
      <c r="JB27" s="297" t="s">
        <v>2565</v>
      </c>
      <c r="JC27" s="202">
        <v>7</v>
      </c>
      <c r="JD27" s="474"/>
      <c r="JF27" s="457" t="s">
        <v>2572</v>
      </c>
      <c r="JG27" s="457"/>
      <c r="JH27" s="297" t="s">
        <v>2607</v>
      </c>
      <c r="JI27" s="202">
        <f>55.72+65.82</f>
        <v>121.53999999999999</v>
      </c>
      <c r="JJ27" s="325" t="s">
        <v>2593</v>
      </c>
      <c r="JK27" s="340">
        <v>59.4</v>
      </c>
      <c r="JL27" s="192" t="s">
        <v>1922</v>
      </c>
      <c r="JM27" s="260">
        <f>SUM(JO6:JO7)</f>
        <v>2900.12</v>
      </c>
      <c r="JN27" s="297" t="s">
        <v>2660</v>
      </c>
      <c r="JO27" s="335">
        <v>131</v>
      </c>
      <c r="JP27" s="325" t="s">
        <v>2355</v>
      </c>
      <c r="JQ27" s="259"/>
      <c r="JR27" s="304" t="s">
        <v>1387</v>
      </c>
      <c r="JS27" s="259">
        <f>SUM(JU8:JU8)</f>
        <v>1476</v>
      </c>
      <c r="JT27" s="297" t="s">
        <v>2705</v>
      </c>
      <c r="JU27" s="335">
        <v>11</v>
      </c>
      <c r="JV27" s="325"/>
      <c r="JW27" s="202"/>
      <c r="JZ27" s="299" t="s">
        <v>2802</v>
      </c>
      <c r="KA27" s="274">
        <f>131.87*2</f>
        <v>263.74</v>
      </c>
      <c r="KB27" s="325"/>
      <c r="KC27" s="325"/>
      <c r="KF27" s="297" t="s">
        <v>2831</v>
      </c>
      <c r="KG27" s="335">
        <v>45.74</v>
      </c>
      <c r="KH27" s="285" t="s">
        <v>2549</v>
      </c>
      <c r="KI27" s="259">
        <v>130</v>
      </c>
      <c r="KK27" s="285"/>
      <c r="KL27" s="297" t="s">
        <v>2912</v>
      </c>
      <c r="KM27" s="202">
        <v>30</v>
      </c>
      <c r="KN27" s="319" t="s">
        <v>2900</v>
      </c>
      <c r="KO27" s="259">
        <v>12</v>
      </c>
      <c r="KQ27" s="395"/>
      <c r="KR27" s="143" t="s">
        <v>2303</v>
      </c>
      <c r="KS27" s="202">
        <f>10+18.51+10+16.63+15.78+16.9+10+16.2+16.87+10+10+20.2+10+10</f>
        <v>191.08999999999997</v>
      </c>
      <c r="KT27" s="474" t="s">
        <v>2384</v>
      </c>
      <c r="KU27" s="259">
        <v>1000</v>
      </c>
      <c r="KV27" s="599"/>
      <c r="KW27" s="598"/>
      <c r="KX27" s="143" t="s">
        <v>2977</v>
      </c>
      <c r="KY27" s="202">
        <v>30</v>
      </c>
      <c r="KZ27" s="340" t="s">
        <v>3082</v>
      </c>
      <c r="LA27" s="340">
        <f>240-15.97</f>
        <v>224.03</v>
      </c>
      <c r="LB27" s="638"/>
      <c r="LC27" s="638"/>
      <c r="LD27" s="143" t="s">
        <v>3092</v>
      </c>
      <c r="LE27" s="274">
        <v>151.85</v>
      </c>
      <c r="LF27" s="637" t="s">
        <v>3129</v>
      </c>
      <c r="LG27" s="259">
        <v>58.2</v>
      </c>
      <c r="LJ27" s="143" t="s">
        <v>2303</v>
      </c>
      <c r="LK27" s="202">
        <f>20.76+15.66+10+17.14+10+17.5</f>
        <v>91.06</v>
      </c>
      <c r="LL27" s="657"/>
      <c r="LM27" s="202"/>
      <c r="LN27" s="677" t="s">
        <v>1793</v>
      </c>
      <c r="LO27" s="395">
        <v>12.48</v>
      </c>
      <c r="LP27" s="143" t="s">
        <v>2303</v>
      </c>
      <c r="LQ27" s="202">
        <f>18+16+10+11.54+17.39+17.41+10</f>
        <v>100.34</v>
      </c>
      <c r="LR27" s="682" t="s">
        <v>3260</v>
      </c>
      <c r="LS27" s="259">
        <v>5000</v>
      </c>
      <c r="LT27" s="722" t="s">
        <v>3295</v>
      </c>
      <c r="LU27" s="261">
        <f>SUM(LW10:LW10)</f>
        <v>0</v>
      </c>
      <c r="LV27" s="297" t="s">
        <v>1857</v>
      </c>
      <c r="LW27" s="202"/>
      <c r="LX27" s="734" t="s">
        <v>3260</v>
      </c>
      <c r="LY27" s="259">
        <v>5000</v>
      </c>
    </row>
    <row r="28" spans="1:338">
      <c r="A28" s="793" t="s">
        <v>506</v>
      </c>
      <c r="B28" s="793"/>
      <c r="E28" s="193" t="s">
        <v>282</v>
      </c>
      <c r="F28" s="194"/>
      <c r="G28" s="793" t="s">
        <v>506</v>
      </c>
      <c r="H28" s="793"/>
      <c r="K28" s="143" t="s">
        <v>1016</v>
      </c>
      <c r="L28" s="340">
        <v>0</v>
      </c>
      <c r="M28" s="795" t="s">
        <v>93</v>
      </c>
      <c r="N28" s="795"/>
      <c r="Q28" s="242" t="s">
        <v>1047</v>
      </c>
      <c r="R28" s="340">
        <v>0</v>
      </c>
      <c r="S28" s="795" t="s">
        <v>93</v>
      </c>
      <c r="T28" s="795"/>
      <c r="W28" s="143" t="s">
        <v>1015</v>
      </c>
      <c r="X28" s="340">
        <v>64</v>
      </c>
      <c r="Y28" s="793" t="s">
        <v>992</v>
      </c>
      <c r="Z28" s="793"/>
      <c r="AC28" s="218" t="s">
        <v>1086</v>
      </c>
      <c r="AD28" s="218">
        <f>63+46</f>
        <v>109</v>
      </c>
      <c r="AE28" s="795" t="s">
        <v>93</v>
      </c>
      <c r="AF28" s="795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1219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1258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1298</v>
      </c>
      <c r="CJ28" s="204">
        <v>64</v>
      </c>
      <c r="CK28" s="285" t="s">
        <v>93</v>
      </c>
      <c r="CL28" s="286"/>
      <c r="CO28" s="264" t="s">
        <v>1311</v>
      </c>
      <c r="CP28" s="217">
        <f>28+34</f>
        <v>62</v>
      </c>
      <c r="CQ28" s="285" t="s">
        <v>93</v>
      </c>
      <c r="CR28" s="286"/>
      <c r="CU28" s="264" t="s">
        <v>1349</v>
      </c>
      <c r="CV28" s="217">
        <v>26.7</v>
      </c>
      <c r="CX28" s="286"/>
      <c r="DA28" s="269" t="s">
        <v>1380</v>
      </c>
      <c r="DB28" s="204">
        <v>178.21</v>
      </c>
      <c r="DC28" s="527"/>
      <c r="DD28" s="533"/>
      <c r="DE28" s="204" t="s">
        <v>1437</v>
      </c>
      <c r="DF28" s="217">
        <f>51*2/3</f>
        <v>34</v>
      </c>
      <c r="DG28" s="267" t="s">
        <v>1424</v>
      </c>
      <c r="DH28" s="261">
        <v>185.01</v>
      </c>
      <c r="DI28" s="218" t="s">
        <v>1445</v>
      </c>
      <c r="DJ28" s="472">
        <v>10000</v>
      </c>
      <c r="DM28" s="256" t="s">
        <v>1329</v>
      </c>
      <c r="DN28" s="261">
        <f>11+53.24</f>
        <v>64.240000000000009</v>
      </c>
      <c r="DO28" s="218" t="s">
        <v>1480</v>
      </c>
      <c r="DP28" s="377" t="s">
        <v>686</v>
      </c>
      <c r="DS28" s="269" t="s">
        <v>1593</v>
      </c>
      <c r="DT28" s="261">
        <v>10</v>
      </c>
      <c r="DU28" s="218" t="s">
        <v>1480</v>
      </c>
      <c r="DV28" s="377" t="s">
        <v>686</v>
      </c>
      <c r="DY28" s="218" t="s">
        <v>1601</v>
      </c>
      <c r="DZ28" s="218"/>
      <c r="EA28" s="478"/>
      <c r="EB28" s="539"/>
      <c r="EE28" s="218" t="s">
        <v>1637</v>
      </c>
      <c r="EF28" s="218"/>
      <c r="EG28" s="486"/>
      <c r="EL28" s="783" t="s">
        <v>1531</v>
      </c>
      <c r="EM28" s="783"/>
      <c r="EN28" s="325"/>
      <c r="EO28" s="260"/>
      <c r="ER28" s="218" t="s">
        <v>1673</v>
      </c>
      <c r="ES28" s="218"/>
      <c r="ET28" s="285" t="s">
        <v>1691</v>
      </c>
      <c r="EU28" s="318">
        <v>10000</v>
      </c>
      <c r="EX28" s="309" t="s">
        <v>1716</v>
      </c>
      <c r="EY28" s="309"/>
      <c r="EZ28" s="285" t="s">
        <v>1562</v>
      </c>
      <c r="FA28" s="318">
        <v>2010</v>
      </c>
      <c r="FD28" s="534">
        <v>300</v>
      </c>
      <c r="FE28" s="307">
        <f>FA9+FD28-FG9</f>
        <v>280</v>
      </c>
      <c r="FF28" s="285" t="s">
        <v>1562</v>
      </c>
      <c r="FG28" s="318">
        <v>6010</v>
      </c>
      <c r="FJ28" s="297" t="s">
        <v>1814</v>
      </c>
      <c r="FK28" s="340">
        <v>8</v>
      </c>
      <c r="FL28" s="285" t="s">
        <v>1698</v>
      </c>
      <c r="FM28" s="318">
        <v>0</v>
      </c>
      <c r="FP28" s="297" t="s">
        <v>1848</v>
      </c>
      <c r="FQ28" s="340">
        <v>86.2</v>
      </c>
      <c r="FR28" s="285" t="s">
        <v>1562</v>
      </c>
      <c r="FS28" s="318">
        <v>6010</v>
      </c>
      <c r="FT28" s="340" t="s">
        <v>1864</v>
      </c>
      <c r="FU28" s="340">
        <f>5984.25-6010</f>
        <v>-25.75</v>
      </c>
      <c r="FV28" s="297" t="s">
        <v>2732</v>
      </c>
      <c r="FW28" s="340">
        <v>41.2</v>
      </c>
      <c r="FX28" s="285" t="s">
        <v>1863</v>
      </c>
      <c r="FY28" s="318">
        <v>1010</v>
      </c>
      <c r="GB28" s="297" t="s">
        <v>1912</v>
      </c>
      <c r="GC28" s="340">
        <v>8</v>
      </c>
      <c r="GD28" s="285" t="s">
        <v>1863</v>
      </c>
      <c r="GE28" s="318">
        <v>808</v>
      </c>
      <c r="GH28" s="299" t="s">
        <v>1949</v>
      </c>
      <c r="GI28" s="340">
        <f>11.48+13.49+12.33+10+12.88+6.22+14.16</f>
        <v>80.56</v>
      </c>
      <c r="GJ28" s="285" t="s">
        <v>1863</v>
      </c>
      <c r="GK28" s="318">
        <v>2002</v>
      </c>
      <c r="GN28" s="299" t="s">
        <v>1949</v>
      </c>
      <c r="GO28" s="340">
        <f>8.9+15.69+15.34+15.72</f>
        <v>55.65</v>
      </c>
      <c r="GP28" s="285" t="s">
        <v>1863</v>
      </c>
      <c r="GQ28" s="318" t="s">
        <v>1076</v>
      </c>
      <c r="GT28" s="297" t="s">
        <v>2023</v>
      </c>
      <c r="GU28" s="340">
        <v>5.4</v>
      </c>
      <c r="GV28" s="285" t="s">
        <v>1883</v>
      </c>
      <c r="GW28" s="318">
        <v>0</v>
      </c>
      <c r="GZ28" s="297" t="s">
        <v>2054</v>
      </c>
      <c r="HA28" s="340">
        <v>505.66</v>
      </c>
      <c r="HB28" s="204" t="s">
        <v>1805</v>
      </c>
      <c r="HC28" s="318">
        <v>300</v>
      </c>
      <c r="HF28" s="297" t="s">
        <v>2096</v>
      </c>
      <c r="HG28" s="340">
        <f>35.9+3.3</f>
        <v>39.199999999999996</v>
      </c>
      <c r="HH28" s="500" t="s">
        <v>2099</v>
      </c>
      <c r="HI28" s="499">
        <v>3179.26</v>
      </c>
      <c r="HJ28" s="302" t="s">
        <v>2125</v>
      </c>
      <c r="HK28" s="498">
        <f>SUM(HM10:HM18)</f>
        <v>1046.8376666666666</v>
      </c>
      <c r="HL28" s="540">
        <v>60</v>
      </c>
      <c r="HM28" s="530" t="s">
        <v>1822</v>
      </c>
      <c r="HN28" s="325" t="s">
        <v>2158</v>
      </c>
      <c r="HO28" s="332">
        <v>214</v>
      </c>
      <c r="HP28" s="243" t="s">
        <v>1923</v>
      </c>
      <c r="HQ28" s="263">
        <f>SUM(HS9:HS11)</f>
        <v>2361.4333333333334</v>
      </c>
      <c r="HR28" s="297" t="s">
        <v>2190</v>
      </c>
      <c r="HS28" s="340">
        <v>14</v>
      </c>
      <c r="HT28" s="285" t="s">
        <v>1976</v>
      </c>
      <c r="HU28" s="318">
        <v>3000</v>
      </c>
      <c r="HV28" s="213" t="s">
        <v>2477</v>
      </c>
      <c r="HW28" s="340">
        <f>SUM(HY47:HY54)</f>
        <v>1548.6</v>
      </c>
      <c r="HX28" s="297" t="s">
        <v>2214</v>
      </c>
      <c r="HY28" s="340">
        <v>69.569999999999993</v>
      </c>
      <c r="HZ28" s="285" t="s">
        <v>509</v>
      </c>
      <c r="IA28" s="340">
        <v>50</v>
      </c>
      <c r="IB28" s="310" t="s">
        <v>1387</v>
      </c>
      <c r="IC28" s="340">
        <f>SUM(IE8)</f>
        <v>5.73</v>
      </c>
      <c r="ID28" s="297" t="s">
        <v>2273</v>
      </c>
      <c r="IE28" s="340">
        <v>329.76</v>
      </c>
      <c r="IF28" s="325" t="s">
        <v>2293</v>
      </c>
      <c r="IG28" s="332">
        <v>111</v>
      </c>
      <c r="IH28" s="506" t="s">
        <v>2328</v>
      </c>
      <c r="II28" s="327">
        <v>19.45</v>
      </c>
      <c r="IJ28" s="297" t="s">
        <v>2340</v>
      </c>
      <c r="IK28" s="340">
        <f>3.8*2+9.9</f>
        <v>17.5</v>
      </c>
      <c r="IL28" s="325" t="s">
        <v>2355</v>
      </c>
      <c r="IN28" s="506"/>
      <c r="IO28" s="327"/>
      <c r="IP28" s="297" t="s">
        <v>2418</v>
      </c>
      <c r="IQ28" s="202">
        <v>61.71</v>
      </c>
      <c r="IR28" s="325" t="s">
        <v>2355</v>
      </c>
      <c r="IT28" s="297" t="s">
        <v>2123</v>
      </c>
      <c r="IU28" s="311">
        <f>SUM(IW21:IW25)</f>
        <v>268.39</v>
      </c>
      <c r="IV28" s="535">
        <v>22.7</v>
      </c>
      <c r="IW28" s="274"/>
      <c r="IX28" s="325"/>
      <c r="IZ28" s="777" t="s">
        <v>2129</v>
      </c>
      <c r="JA28" s="777"/>
      <c r="JB28" s="297" t="s">
        <v>2737</v>
      </c>
      <c r="JC28" s="202">
        <v>34</v>
      </c>
      <c r="JF28" s="192" t="s">
        <v>1922</v>
      </c>
      <c r="JG28" s="260">
        <f>SUM(JI6:JI7)</f>
        <v>3900.1</v>
      </c>
      <c r="JH28" s="297" t="s">
        <v>2738</v>
      </c>
      <c r="JI28" s="202">
        <f>44.8+43.4</f>
        <v>88.199999999999989</v>
      </c>
      <c r="JJ28" s="325" t="s">
        <v>2594</v>
      </c>
      <c r="JK28" s="340">
        <v>75.599999999999994</v>
      </c>
      <c r="JL28" s="312" t="s">
        <v>2690</v>
      </c>
      <c r="JM28" s="260">
        <f>SUM(JO11:JO13)</f>
        <v>116477.65199999999</v>
      </c>
      <c r="JN28" s="340" t="s">
        <v>2894</v>
      </c>
      <c r="JO28" s="261">
        <v>20</v>
      </c>
      <c r="JP28" s="325"/>
      <c r="JQ28" s="259"/>
      <c r="JR28" s="300" t="s">
        <v>2124</v>
      </c>
      <c r="JS28" s="259">
        <f>SUM(JU9:JU10)</f>
        <v>15.379999999999999</v>
      </c>
      <c r="JT28" s="340" t="s">
        <v>2894</v>
      </c>
      <c r="JU28" s="261">
        <f>13</f>
        <v>13</v>
      </c>
      <c r="JV28" s="325"/>
      <c r="JW28" s="202"/>
      <c r="JZ28" s="299" t="s">
        <v>2790</v>
      </c>
      <c r="KA28" s="202">
        <f>(15+6.5)*2</f>
        <v>43</v>
      </c>
      <c r="KB28" s="325"/>
      <c r="KC28" s="325"/>
      <c r="KD28" s="457" t="s">
        <v>2623</v>
      </c>
      <c r="KE28" s="457"/>
      <c r="KF28" s="297" t="s">
        <v>2834</v>
      </c>
      <c r="KG28" s="335">
        <v>21.12</v>
      </c>
      <c r="KH28" s="285" t="s">
        <v>2548</v>
      </c>
      <c r="KI28" s="259"/>
      <c r="KL28" s="297" t="s">
        <v>2854</v>
      </c>
      <c r="KM28" s="202">
        <v>30.06</v>
      </c>
      <c r="KN28" s="285" t="s">
        <v>2862</v>
      </c>
      <c r="KO28" s="259">
        <v>110</v>
      </c>
      <c r="KP28" s="217"/>
      <c r="KQ28" s="395"/>
      <c r="KR28" s="297" t="s">
        <v>3033</v>
      </c>
      <c r="KS28" s="202">
        <v>60</v>
      </c>
      <c r="KT28" s="325" t="s">
        <v>2402</v>
      </c>
      <c r="KU28" s="202"/>
      <c r="KV28" s="601"/>
      <c r="KW28" s="600"/>
      <c r="KX28" s="143" t="s">
        <v>1190</v>
      </c>
      <c r="KY28" s="202">
        <f>6.5+15</f>
        <v>21.5</v>
      </c>
      <c r="KZ28" s="325" t="s">
        <v>2904</v>
      </c>
      <c r="LA28" s="202"/>
      <c r="LB28" s="638"/>
      <c r="LC28" s="638"/>
      <c r="LD28" s="143" t="s">
        <v>1190</v>
      </c>
      <c r="LE28" s="202">
        <f>8.6+15+6.5</f>
        <v>30.1</v>
      </c>
      <c r="LF28" s="619" t="s">
        <v>2355</v>
      </c>
      <c r="LG28" s="202"/>
      <c r="LJ28" s="297" t="s">
        <v>3154</v>
      </c>
      <c r="LK28" s="202">
        <v>20</v>
      </c>
      <c r="LL28" s="652" t="s">
        <v>2904</v>
      </c>
      <c r="LM28" s="259"/>
      <c r="LN28" s="775" t="s">
        <v>2797</v>
      </c>
      <c r="LO28" s="775"/>
      <c r="LP28" s="297" t="s">
        <v>3265</v>
      </c>
      <c r="LQ28" s="202">
        <v>20</v>
      </c>
      <c r="LR28" s="702"/>
      <c r="LS28" s="259"/>
      <c r="LT28" s="217" t="s">
        <v>2935</v>
      </c>
      <c r="LU28" s="202">
        <f>SUM(LW11:LW12)</f>
        <v>0</v>
      </c>
      <c r="LV28" s="297" t="s">
        <v>1857</v>
      </c>
      <c r="LW28" s="202"/>
      <c r="LX28" s="734"/>
      <c r="LY28" s="259"/>
    </row>
    <row r="29" spans="1:338">
      <c r="A29" s="793" t="s">
        <v>992</v>
      </c>
      <c r="B29" s="793"/>
      <c r="E29" s="193" t="s">
        <v>372</v>
      </c>
      <c r="F29" s="194"/>
      <c r="G29" s="793" t="s">
        <v>992</v>
      </c>
      <c r="H29" s="793"/>
      <c r="K29" s="143" t="s">
        <v>1015</v>
      </c>
      <c r="L29" s="340">
        <v>64</v>
      </c>
      <c r="M29" s="789" t="s">
        <v>385</v>
      </c>
      <c r="N29" s="789"/>
      <c r="S29" s="789" t="s">
        <v>385</v>
      </c>
      <c r="T29" s="789"/>
      <c r="W29" s="143" t="s">
        <v>1014</v>
      </c>
      <c r="X29" s="340">
        <v>100.01</v>
      </c>
      <c r="Y29" s="795" t="s">
        <v>93</v>
      </c>
      <c r="Z29" s="795"/>
      <c r="AC29" s="340" t="s">
        <v>1084</v>
      </c>
      <c r="AD29" s="340">
        <v>65</v>
      </c>
      <c r="AE29" s="789" t="s">
        <v>385</v>
      </c>
      <c r="AF29" s="789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1318</v>
      </c>
      <c r="CP29" s="217">
        <v>35</v>
      </c>
      <c r="CQ29" s="340" t="s">
        <v>1146</v>
      </c>
      <c r="CU29" s="264" t="s">
        <v>1357</v>
      </c>
      <c r="CV29" s="217">
        <f>6*4+5*2+5</f>
        <v>39</v>
      </c>
      <c r="CW29" s="197" t="s">
        <v>506</v>
      </c>
      <c r="DA29" s="269" t="s">
        <v>1392</v>
      </c>
      <c r="DB29" s="204">
        <v>300</v>
      </c>
      <c r="DD29" s="286"/>
      <c r="DG29" s="256" t="s">
        <v>1332</v>
      </c>
      <c r="DH29" s="261">
        <v>85.71</v>
      </c>
      <c r="DI29" s="218" t="s">
        <v>1446</v>
      </c>
      <c r="DJ29" s="472" t="s">
        <v>1076</v>
      </c>
      <c r="DM29" s="256" t="s">
        <v>1298</v>
      </c>
      <c r="DN29" s="261">
        <v>64</v>
      </c>
      <c r="DO29" s="478"/>
      <c r="DP29" s="539"/>
      <c r="DS29" s="269" t="s">
        <v>1581</v>
      </c>
      <c r="DT29" s="261">
        <v>10</v>
      </c>
      <c r="DU29" s="478"/>
      <c r="DV29" s="539"/>
      <c r="DY29" s="218" t="s">
        <v>1594</v>
      </c>
      <c r="DZ29" s="218"/>
      <c r="EA29" s="340" t="s">
        <v>1263</v>
      </c>
      <c r="EB29" s="259">
        <v>-20000</v>
      </c>
      <c r="EE29" s="340" t="s">
        <v>1623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1705</v>
      </c>
      <c r="ES29" s="218"/>
      <c r="ET29" s="285" t="s">
        <v>1690</v>
      </c>
      <c r="EU29" s="318">
        <v>0</v>
      </c>
      <c r="EX29" s="530" t="s">
        <v>1711</v>
      </c>
      <c r="EY29" s="309"/>
      <c r="EZ29" s="285" t="s">
        <v>1562</v>
      </c>
      <c r="FA29" s="318">
        <v>5010</v>
      </c>
      <c r="FD29" s="309" t="s">
        <v>1778</v>
      </c>
      <c r="FE29" s="309"/>
      <c r="FF29" s="285" t="s">
        <v>1562</v>
      </c>
      <c r="FG29" s="318">
        <v>10010</v>
      </c>
      <c r="FJ29" s="783" t="s">
        <v>1741</v>
      </c>
      <c r="FK29" s="783"/>
      <c r="FL29" s="285" t="s">
        <v>1697</v>
      </c>
      <c r="FM29" s="318">
        <v>10000</v>
      </c>
      <c r="FP29" s="297" t="s">
        <v>1827</v>
      </c>
      <c r="FQ29" s="340">
        <v>35.799999999999997</v>
      </c>
      <c r="FR29" s="285" t="s">
        <v>1562</v>
      </c>
      <c r="FS29" s="318">
        <v>10010</v>
      </c>
      <c r="FT29" s="340" t="s">
        <v>1884</v>
      </c>
      <c r="FU29" s="340">
        <f>4980.91-5005</f>
        <v>-24.090000000000146</v>
      </c>
      <c r="FV29" s="297" t="s">
        <v>1908</v>
      </c>
      <c r="FW29" s="340">
        <v>6.3</v>
      </c>
      <c r="FX29" s="285" t="s">
        <v>1863</v>
      </c>
      <c r="FY29" s="318">
        <v>5005</v>
      </c>
      <c r="GB29" s="297" t="s">
        <v>1926</v>
      </c>
      <c r="GC29" s="340">
        <v>127.1</v>
      </c>
      <c r="GD29" s="285" t="s">
        <v>1863</v>
      </c>
      <c r="GE29" s="318">
        <v>4004</v>
      </c>
      <c r="GF29" s="204"/>
      <c r="GH29" s="297" t="s">
        <v>1933</v>
      </c>
      <c r="GI29" s="340">
        <v>70</v>
      </c>
      <c r="GJ29" s="285" t="s">
        <v>1863</v>
      </c>
      <c r="GK29" s="318">
        <v>808</v>
      </c>
      <c r="GN29" s="297" t="s">
        <v>2004</v>
      </c>
      <c r="GO29" s="340">
        <v>20</v>
      </c>
      <c r="GP29" s="285" t="s">
        <v>1863</v>
      </c>
      <c r="GQ29" s="318" t="s">
        <v>1076</v>
      </c>
      <c r="GT29" s="297" t="s">
        <v>2038</v>
      </c>
      <c r="GU29" s="340">
        <v>10</v>
      </c>
      <c r="GV29" s="483" t="s">
        <v>1627</v>
      </c>
      <c r="GW29" s="332"/>
      <c r="GZ29" s="297" t="s">
        <v>2059</v>
      </c>
      <c r="HA29" s="340">
        <f>80+105</f>
        <v>185</v>
      </c>
      <c r="HB29" s="285" t="s">
        <v>1883</v>
      </c>
      <c r="HC29" s="318">
        <v>0</v>
      </c>
      <c r="HD29" s="285"/>
      <c r="HF29" s="297" t="s">
        <v>2120</v>
      </c>
      <c r="HG29" s="340">
        <f>74.8-6.1</f>
        <v>68.7</v>
      </c>
      <c r="HH29" s="340" t="s">
        <v>2105</v>
      </c>
      <c r="HI29" s="337">
        <v>-114.61</v>
      </c>
      <c r="HJ29" s="303" t="s">
        <v>2123</v>
      </c>
      <c r="HK29" s="340">
        <f>SUM(HM19:HM23)</f>
        <v>275.58</v>
      </c>
      <c r="HL29" s="540">
        <v>20</v>
      </c>
      <c r="HM29" s="530" t="s">
        <v>2081</v>
      </c>
      <c r="HN29" s="500"/>
      <c r="HO29" s="332"/>
      <c r="HP29" s="310" t="s">
        <v>1387</v>
      </c>
      <c r="HQ29" s="340">
        <v>0</v>
      </c>
      <c r="HR29" s="297" t="s">
        <v>2059</v>
      </c>
      <c r="HS29" s="340">
        <v>80</v>
      </c>
      <c r="HT29" s="285" t="s">
        <v>2130</v>
      </c>
      <c r="HU29" s="318">
        <v>4000</v>
      </c>
      <c r="HV29" s="297" t="s">
        <v>2123</v>
      </c>
      <c r="HW29" s="340">
        <f>SUM(HY25:HY30)</f>
        <v>271.94</v>
      </c>
      <c r="HX29" s="297" t="s">
        <v>2739</v>
      </c>
      <c r="HY29" s="340">
        <f>22.3+42.9</f>
        <v>65.2</v>
      </c>
      <c r="HZ29" s="483" t="s">
        <v>2181</v>
      </c>
      <c r="IB29" s="300" t="s">
        <v>2124</v>
      </c>
      <c r="IC29" s="340">
        <f>SUM(IE9:IE9)</f>
        <v>32.1</v>
      </c>
      <c r="ID29" s="297" t="s">
        <v>2272</v>
      </c>
      <c r="IE29" s="340">
        <v>80</v>
      </c>
      <c r="IF29" s="325" t="s">
        <v>2200</v>
      </c>
      <c r="IG29" s="332"/>
      <c r="IH29" s="499" t="s">
        <v>2329</v>
      </c>
      <c r="II29" s="327">
        <f>19.45*3</f>
        <v>58.349999999999994</v>
      </c>
      <c r="IJ29" s="297" t="s">
        <v>2367</v>
      </c>
      <c r="IK29" s="340">
        <f>7.15+14.85</f>
        <v>22</v>
      </c>
      <c r="IL29" s="507" t="s">
        <v>2201</v>
      </c>
      <c r="IM29" s="541">
        <v>21.35</v>
      </c>
      <c r="IN29" s="499"/>
      <c r="IO29" s="327"/>
      <c r="IP29" s="297" t="s">
        <v>2423</v>
      </c>
      <c r="IQ29" s="202">
        <v>23.1</v>
      </c>
      <c r="IR29" s="325" t="s">
        <v>2390</v>
      </c>
      <c r="IS29" s="340" t="s">
        <v>2391</v>
      </c>
      <c r="IT29" s="297" t="s">
        <v>2655</v>
      </c>
      <c r="IU29" s="340">
        <f>SUM(IW22:IW25)</f>
        <v>188.39</v>
      </c>
      <c r="IV29" s="536" t="s">
        <v>1406</v>
      </c>
      <c r="IW29" s="537">
        <f>IS19+IU30-IY20</f>
        <v>70</v>
      </c>
      <c r="IX29" s="340" t="s">
        <v>506</v>
      </c>
      <c r="IZ29" s="192" t="s">
        <v>1922</v>
      </c>
      <c r="JA29" s="260">
        <f>SUM(JC7:JC7)</f>
        <v>1900.03</v>
      </c>
      <c r="JB29" s="297" t="s">
        <v>2533</v>
      </c>
      <c r="JC29" s="202">
        <v>64.75</v>
      </c>
      <c r="JD29" s="340" t="s">
        <v>506</v>
      </c>
      <c r="JF29" s="312" t="s">
        <v>1923</v>
      </c>
      <c r="JG29" s="260">
        <f>SUM(JI12:JI15)</f>
        <v>156875.80412602739</v>
      </c>
      <c r="JH29" s="297" t="s">
        <v>2583</v>
      </c>
      <c r="JI29" s="335">
        <v>40.9</v>
      </c>
      <c r="JJ29" s="325"/>
      <c r="JL29" s="304" t="s">
        <v>1387</v>
      </c>
      <c r="JM29" s="259">
        <f>SUM(JO8:JO9)</f>
        <v>175.82999999999998</v>
      </c>
      <c r="JN29" s="217" t="s">
        <v>2155</v>
      </c>
      <c r="JO29" s="274">
        <f>250+254+164+105</f>
        <v>773</v>
      </c>
      <c r="JP29" s="325"/>
      <c r="JQ29" s="259"/>
      <c r="JR29" s="302" t="s">
        <v>2125</v>
      </c>
      <c r="JS29" s="259">
        <f>SUM(JU14:JU22)</f>
        <v>1271.7839999999999</v>
      </c>
      <c r="JT29" s="217" t="s">
        <v>2155</v>
      </c>
      <c r="JU29" s="274">
        <f>144+160+67</f>
        <v>371</v>
      </c>
      <c r="JZ29" s="299" t="s">
        <v>2643</v>
      </c>
      <c r="KA29" s="202">
        <f>9+14.32+(9+9)</f>
        <v>41.32</v>
      </c>
      <c r="KB29" s="340" t="s">
        <v>506</v>
      </c>
      <c r="KD29" s="414" t="s">
        <v>1922</v>
      </c>
      <c r="KE29" s="260">
        <f>SUM(KG6:KG6)</f>
        <v>1900.09</v>
      </c>
      <c r="KF29" s="217" t="s">
        <v>3168</v>
      </c>
      <c r="KG29" s="274">
        <f>341+171</f>
        <v>512</v>
      </c>
      <c r="KH29" s="474" t="s">
        <v>2384</v>
      </c>
      <c r="KI29" s="259">
        <v>1000</v>
      </c>
      <c r="KL29" s="297" t="s">
        <v>2916</v>
      </c>
      <c r="KM29" s="202">
        <v>21.5</v>
      </c>
      <c r="KN29" s="474" t="s">
        <v>2384</v>
      </c>
      <c r="KO29" s="259">
        <v>1000</v>
      </c>
      <c r="KP29" s="491"/>
      <c r="KQ29" s="491"/>
      <c r="KR29" s="297" t="s">
        <v>3023</v>
      </c>
      <c r="KS29" s="202">
        <v>400.92</v>
      </c>
      <c r="KT29" s="474" t="s">
        <v>2998</v>
      </c>
      <c r="KU29" s="202">
        <v>1202.04</v>
      </c>
      <c r="KV29" s="601"/>
      <c r="KW29" s="600"/>
      <c r="KX29" s="143" t="s">
        <v>3063</v>
      </c>
      <c r="KY29" s="202">
        <v>57.3</v>
      </c>
      <c r="KZ29" s="325" t="s">
        <v>2402</v>
      </c>
      <c r="LA29" s="202"/>
      <c r="LB29" s="631"/>
      <c r="LC29" s="631"/>
      <c r="LD29" s="143" t="s">
        <v>3112</v>
      </c>
      <c r="LE29" s="202">
        <v>67.8</v>
      </c>
      <c r="LF29" s="630" t="s">
        <v>3139</v>
      </c>
      <c r="LG29" s="259">
        <f>52.8*2</f>
        <v>105.6</v>
      </c>
      <c r="LJ29" s="297" t="s">
        <v>3197</v>
      </c>
      <c r="LK29" s="202">
        <v>5</v>
      </c>
      <c r="LL29" s="659"/>
      <c r="LM29" s="202"/>
      <c r="LP29" s="297" t="s">
        <v>3242</v>
      </c>
      <c r="LQ29" s="202">
        <v>387.83</v>
      </c>
      <c r="LR29" s="682" t="s">
        <v>2904</v>
      </c>
      <c r="LS29" s="259"/>
      <c r="LT29" s="301" t="s">
        <v>3152</v>
      </c>
      <c r="LU29" s="202">
        <f>SUM(LW13:LW16)</f>
        <v>0</v>
      </c>
      <c r="LV29" s="297" t="s">
        <v>1857</v>
      </c>
      <c r="LW29" s="202"/>
      <c r="LX29" s="734" t="s">
        <v>2904</v>
      </c>
      <c r="LY29" s="259"/>
    </row>
    <row r="30" spans="1:338">
      <c r="A30" s="795" t="s">
        <v>93</v>
      </c>
      <c r="B30" s="795"/>
      <c r="E30" s="193" t="s">
        <v>1007</v>
      </c>
      <c r="F30" s="170"/>
      <c r="G30" s="795" t="s">
        <v>93</v>
      </c>
      <c r="H30" s="795"/>
      <c r="K30" s="143" t="s">
        <v>1014</v>
      </c>
      <c r="L30" s="340">
        <v>50.01</v>
      </c>
      <c r="M30" s="796" t="s">
        <v>1001</v>
      </c>
      <c r="N30" s="796"/>
      <c r="Q30" s="143" t="s">
        <v>1049</v>
      </c>
      <c r="R30" s="340">
        <v>26</v>
      </c>
      <c r="S30" s="796" t="s">
        <v>1001</v>
      </c>
      <c r="T30" s="796"/>
      <c r="Y30" s="789" t="s">
        <v>385</v>
      </c>
      <c r="Z30" s="789"/>
      <c r="AC30" s="340" t="s">
        <v>1087</v>
      </c>
      <c r="AD30" s="340">
        <v>10</v>
      </c>
      <c r="AE30" s="796" t="s">
        <v>1001</v>
      </c>
      <c r="AF30" s="796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1192</v>
      </c>
      <c r="BF30" s="340">
        <v>56.62</v>
      </c>
      <c r="BG30" s="483" t="s">
        <v>1001</v>
      </c>
      <c r="BH30" s="483"/>
      <c r="BK30" s="258" t="s">
        <v>1216</v>
      </c>
      <c r="BL30" s="217">
        <v>5</v>
      </c>
      <c r="BM30" s="483" t="s">
        <v>1001</v>
      </c>
      <c r="BN30" s="483"/>
      <c r="BQ30" s="258" t="s">
        <v>1232</v>
      </c>
      <c r="BR30" s="217">
        <v>20</v>
      </c>
      <c r="BS30" s="483" t="s">
        <v>1001</v>
      </c>
      <c r="BT30" s="542"/>
      <c r="BW30" s="258" t="s">
        <v>1232</v>
      </c>
      <c r="BX30" s="217">
        <v>15</v>
      </c>
      <c r="BY30" s="483" t="s">
        <v>1001</v>
      </c>
      <c r="BZ30" s="543"/>
      <c r="CC30" s="258" t="s">
        <v>1232</v>
      </c>
      <c r="CD30" s="217">
        <v>5</v>
      </c>
      <c r="CE30" s="483" t="s">
        <v>1001</v>
      </c>
      <c r="CF30" s="543"/>
      <c r="CI30" s="264" t="s">
        <v>1232</v>
      </c>
      <c r="CJ30" s="217">
        <f>10+5</f>
        <v>15</v>
      </c>
      <c r="CK30" s="483" t="s">
        <v>1001</v>
      </c>
      <c r="CL30" s="543"/>
      <c r="CO30" s="264" t="s">
        <v>1328</v>
      </c>
      <c r="CP30" s="217">
        <v>39</v>
      </c>
      <c r="CQ30" s="483" t="s">
        <v>1001</v>
      </c>
      <c r="CR30" s="543"/>
      <c r="CU30" s="264" t="s">
        <v>1366</v>
      </c>
      <c r="CV30" s="217">
        <v>46.9</v>
      </c>
      <c r="CW30" s="197" t="s">
        <v>992</v>
      </c>
      <c r="CX30" s="543"/>
      <c r="DA30" s="269" t="s">
        <v>1401</v>
      </c>
      <c r="DB30" s="204">
        <v>28</v>
      </c>
      <c r="DC30" s="197" t="s">
        <v>506</v>
      </c>
      <c r="DG30" s="256" t="s">
        <v>1430</v>
      </c>
      <c r="DH30" s="261">
        <f>51.05+57.34</f>
        <v>108.39</v>
      </c>
      <c r="DI30" s="218" t="s">
        <v>1464</v>
      </c>
      <c r="DJ30" s="472">
        <v>5000</v>
      </c>
      <c r="DK30" s="204"/>
      <c r="DM30" s="256" t="s">
        <v>1507</v>
      </c>
      <c r="DN30" s="261">
        <f>12.19+9.83+1.31+11.91+13.1+17+10+12.95</f>
        <v>88.29</v>
      </c>
      <c r="DO30" s="325" t="s">
        <v>1263</v>
      </c>
      <c r="DP30" s="318">
        <v>-20000</v>
      </c>
      <c r="DQ30" s="204"/>
      <c r="DS30" s="269" t="s">
        <v>1580</v>
      </c>
      <c r="DT30" s="261">
        <v>10</v>
      </c>
      <c r="DU30" s="325" t="s">
        <v>1263</v>
      </c>
      <c r="DV30" s="318">
        <v>-20000</v>
      </c>
      <c r="DY30" s="218" t="s">
        <v>1598</v>
      </c>
      <c r="DZ30" s="218"/>
      <c r="EA30" s="544" t="s">
        <v>1587</v>
      </c>
      <c r="EB30" s="494"/>
      <c r="EE30" s="340" t="s">
        <v>1624</v>
      </c>
      <c r="EF30" s="340">
        <v>201</v>
      </c>
      <c r="EG30" s="285"/>
      <c r="EH30" s="340" t="s">
        <v>1617</v>
      </c>
      <c r="EL30" s="309" t="s">
        <v>1653</v>
      </c>
      <c r="EM30" s="309"/>
      <c r="EN30" s="340" t="s">
        <v>506</v>
      </c>
      <c r="ER30" s="218" t="s">
        <v>1681</v>
      </c>
      <c r="ES30" s="218"/>
      <c r="ET30" s="483" t="s">
        <v>1627</v>
      </c>
      <c r="EU30" s="483"/>
      <c r="EX30" s="530" t="s">
        <v>1739</v>
      </c>
      <c r="EY30" s="309"/>
      <c r="EZ30" s="285" t="s">
        <v>1492</v>
      </c>
      <c r="FA30" s="318">
        <v>10000</v>
      </c>
      <c r="FD30" s="530" t="s">
        <v>1748</v>
      </c>
      <c r="FE30" s="309"/>
      <c r="FF30" s="285" t="s">
        <v>1492</v>
      </c>
      <c r="FG30" s="318">
        <v>15000</v>
      </c>
      <c r="FJ30" s="534">
        <v>200</v>
      </c>
      <c r="FK30" s="307">
        <f>FG9+FJ30-FM10</f>
        <v>340</v>
      </c>
      <c r="FL30" s="285" t="s">
        <v>1697</v>
      </c>
      <c r="FM30" s="318">
        <v>0</v>
      </c>
      <c r="FP30" s="297" t="s">
        <v>1837</v>
      </c>
      <c r="FQ30" s="340">
        <v>44.8</v>
      </c>
      <c r="FR30" s="285" t="s">
        <v>1691</v>
      </c>
      <c r="FS30" s="318">
        <v>0</v>
      </c>
      <c r="FT30" s="204" t="s">
        <v>1697</v>
      </c>
      <c r="FU30" s="340">
        <f>9952.43-10000</f>
        <v>-47.569999999999709</v>
      </c>
      <c r="FV30" s="536" t="s">
        <v>1741</v>
      </c>
      <c r="FW30" s="536"/>
      <c r="FX30" s="285" t="s">
        <v>1883</v>
      </c>
      <c r="FY30" s="318" t="s">
        <v>686</v>
      </c>
      <c r="GB30" s="297" t="s">
        <v>1925</v>
      </c>
      <c r="GC30" s="340">
        <v>18.8</v>
      </c>
      <c r="GD30" s="285" t="s">
        <v>1883</v>
      </c>
      <c r="GE30" s="318" t="s">
        <v>686</v>
      </c>
      <c r="GF30" s="285"/>
      <c r="GG30" s="244"/>
      <c r="GH30" s="297" t="s">
        <v>1969</v>
      </c>
      <c r="GI30" s="340">
        <v>16</v>
      </c>
      <c r="GJ30" s="204" t="s">
        <v>1805</v>
      </c>
      <c r="GK30" s="318">
        <v>300</v>
      </c>
      <c r="GN30" s="297" t="s">
        <v>1990</v>
      </c>
      <c r="GO30" s="340">
        <v>10</v>
      </c>
      <c r="GP30" s="204" t="s">
        <v>1805</v>
      </c>
      <c r="GQ30" s="318">
        <v>300</v>
      </c>
      <c r="GR30" s="204"/>
      <c r="GT30" s="297" t="s">
        <v>2022</v>
      </c>
      <c r="GU30" s="340">
        <v>10</v>
      </c>
      <c r="GV30" s="325" t="s">
        <v>2028</v>
      </c>
      <c r="GW30" s="332">
        <v>1159.4000000000001</v>
      </c>
      <c r="GZ30" s="297" t="s">
        <v>1773</v>
      </c>
      <c r="HA30" s="340">
        <v>8</v>
      </c>
      <c r="HB30" s="483" t="s">
        <v>1627</v>
      </c>
      <c r="HC30" s="332"/>
      <c r="HF30" s="536" t="s">
        <v>1741</v>
      </c>
      <c r="HG30" s="218"/>
      <c r="HH30" s="500" t="s">
        <v>2097</v>
      </c>
      <c r="HI30" s="499">
        <v>258.44</v>
      </c>
      <c r="HJ30" s="297" t="s">
        <v>2604</v>
      </c>
      <c r="HK30" s="340">
        <f>SUM(HM20:HM23)</f>
        <v>255.57999999999998</v>
      </c>
      <c r="HL30" s="540">
        <v>60</v>
      </c>
      <c r="HM30" s="530" t="s">
        <v>2106</v>
      </c>
      <c r="HP30" s="300" t="s">
        <v>2124</v>
      </c>
      <c r="HQ30" s="340">
        <f>SUM(HS7:HS8)</f>
        <v>1867.15</v>
      </c>
      <c r="HR30" s="340" t="s">
        <v>2156</v>
      </c>
      <c r="HS30" s="204">
        <v>37</v>
      </c>
      <c r="HT30" s="285" t="s">
        <v>1978</v>
      </c>
      <c r="HU30" s="318">
        <v>25000</v>
      </c>
      <c r="HV30" s="297" t="s">
        <v>2604</v>
      </c>
      <c r="HW30" s="340">
        <f>SUM(HY26:HY30)</f>
        <v>251.94</v>
      </c>
      <c r="HX30" s="297" t="s">
        <v>2235</v>
      </c>
      <c r="HY30" s="340">
        <v>11</v>
      </c>
      <c r="HZ30" s="474" t="s">
        <v>2386</v>
      </c>
      <c r="IA30" s="340">
        <v>4</v>
      </c>
      <c r="IB30" s="299" t="s">
        <v>2125</v>
      </c>
      <c r="IC30" s="505">
        <f>SUM(IE18:IE26)</f>
        <v>1421.2533333333333</v>
      </c>
      <c r="ID30" s="297" t="s">
        <v>2299</v>
      </c>
      <c r="IE30" s="340">
        <v>62</v>
      </c>
      <c r="IF30" s="507" t="s">
        <v>2201</v>
      </c>
      <c r="IG30" s="541">
        <v>21.35</v>
      </c>
      <c r="IH30" s="499" t="s">
        <v>2330</v>
      </c>
      <c r="II30" s="327">
        <f>19.45*25</f>
        <v>486.25</v>
      </c>
      <c r="IJ30" s="297" t="s">
        <v>2366</v>
      </c>
      <c r="IK30" s="340">
        <v>34</v>
      </c>
      <c r="IL30" s="325" t="s">
        <v>2388</v>
      </c>
      <c r="IM30" s="340">
        <v>1.49</v>
      </c>
      <c r="IN30" s="499"/>
      <c r="IO30" s="327"/>
      <c r="IP30" s="297" t="s">
        <v>2451</v>
      </c>
      <c r="IQ30" s="202" t="s">
        <v>2452</v>
      </c>
      <c r="IR30" s="325"/>
      <c r="IT30" s="530" t="s">
        <v>2453</v>
      </c>
      <c r="IU30" s="534">
        <v>90</v>
      </c>
      <c r="IV30" s="540">
        <v>5</v>
      </c>
      <c r="IW30" s="545" t="s">
        <v>2450</v>
      </c>
      <c r="IX30" s="217" t="s">
        <v>1859</v>
      </c>
      <c r="IZ30" s="243" t="s">
        <v>1923</v>
      </c>
      <c r="JA30" s="260">
        <f>SUM(JC14:JC16)</f>
        <v>4142.9809999999998</v>
      </c>
      <c r="JB30" s="383" t="s">
        <v>2545</v>
      </c>
      <c r="JC30" s="335">
        <f>3.3+7.001</f>
        <v>10.301</v>
      </c>
      <c r="JD30" s="340" t="s">
        <v>93</v>
      </c>
      <c r="JF30" s="304" t="s">
        <v>1387</v>
      </c>
      <c r="JG30" s="259">
        <f>SUM(JI8:JI8)</f>
        <v>327.74</v>
      </c>
      <c r="JH30" s="297" t="s">
        <v>2587</v>
      </c>
      <c r="JI30" s="335">
        <f>8.65*2</f>
        <v>17.3</v>
      </c>
      <c r="JJ30" s="325"/>
      <c r="JL30" s="300" t="s">
        <v>2124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2123</v>
      </c>
      <c r="JS30" s="259">
        <f>SUM(JU23:JU27)</f>
        <v>179.60000000000002</v>
      </c>
      <c r="JT30" s="535">
        <v>24.07</v>
      </c>
      <c r="JU30" s="274"/>
      <c r="JZ30" s="299" t="s">
        <v>2995</v>
      </c>
      <c r="KA30" s="202">
        <f>64+30.9</f>
        <v>94.9</v>
      </c>
      <c r="KB30" s="340" t="s">
        <v>93</v>
      </c>
      <c r="KD30" s="312" t="s">
        <v>2941</v>
      </c>
      <c r="KE30" s="260">
        <f>SUM(KG8:KG10)</f>
        <v>203044.96999999997</v>
      </c>
      <c r="KF30" s="535">
        <v>34.15</v>
      </c>
      <c r="KG30" s="274"/>
      <c r="KH30" s="325" t="s">
        <v>2402</v>
      </c>
      <c r="KI30" s="202"/>
      <c r="KL30" s="297" t="s">
        <v>2923</v>
      </c>
      <c r="KM30" s="335">
        <v>44.55</v>
      </c>
      <c r="KN30" s="325" t="s">
        <v>2402</v>
      </c>
      <c r="KO30" s="202"/>
      <c r="KP30" s="525"/>
      <c r="KQ30" s="525"/>
      <c r="KR30" s="297" t="s">
        <v>2985</v>
      </c>
      <c r="KS30" s="202">
        <f>5+0.99</f>
        <v>5.99</v>
      </c>
      <c r="KT30" s="474" t="s">
        <v>3006</v>
      </c>
      <c r="KU30" s="202"/>
      <c r="KV30" s="601"/>
      <c r="KW30" s="600"/>
      <c r="KX30" s="143" t="s">
        <v>2643</v>
      </c>
      <c r="KY30" s="202">
        <f>14.32+9+9</f>
        <v>32.32</v>
      </c>
      <c r="KZ30" s="325" t="s">
        <v>2355</v>
      </c>
      <c r="LA30" s="202"/>
      <c r="LB30" s="631"/>
      <c r="LC30" s="631"/>
      <c r="LD30" s="143" t="s">
        <v>2643</v>
      </c>
      <c r="LE30" s="202">
        <f>14.32+18*2</f>
        <v>50.32</v>
      </c>
      <c r="LF30" s="656" t="s">
        <v>3151</v>
      </c>
      <c r="LG30" s="259">
        <v>28.82</v>
      </c>
      <c r="LH30" s="645" t="s">
        <v>2623</v>
      </c>
      <c r="LI30" s="645"/>
      <c r="LJ30" s="297" t="s">
        <v>3153</v>
      </c>
      <c r="LK30" s="202">
        <v>10.6</v>
      </c>
      <c r="LL30" s="661"/>
      <c r="LM30" s="202"/>
      <c r="LN30" s="675" t="s">
        <v>2623</v>
      </c>
      <c r="LO30" s="690"/>
      <c r="LP30" s="297" t="s">
        <v>3230</v>
      </c>
      <c r="LQ30" s="202">
        <v>80</v>
      </c>
      <c r="LR30" s="679" t="s">
        <v>2402</v>
      </c>
      <c r="LS30" s="202"/>
      <c r="LT30" s="256" t="s">
        <v>3256</v>
      </c>
      <c r="LU30" s="395">
        <f>SUM(LW17:LW18)</f>
        <v>0</v>
      </c>
      <c r="LV30" s="297" t="s">
        <v>1857</v>
      </c>
      <c r="LW30" s="202"/>
      <c r="LX30" s="731" t="s">
        <v>2402</v>
      </c>
      <c r="LY30" s="202"/>
      <c r="LZ30" s="202"/>
    </row>
    <row r="31" spans="1:338" ht="12.75" customHeight="1">
      <c r="A31" s="789" t="s">
        <v>385</v>
      </c>
      <c r="B31" s="789"/>
      <c r="E31" s="170"/>
      <c r="F31" s="170"/>
      <c r="G31" s="789" t="s">
        <v>385</v>
      </c>
      <c r="H31" s="789"/>
      <c r="M31" s="792" t="s">
        <v>243</v>
      </c>
      <c r="N31" s="792"/>
      <c r="Q31" s="143" t="s">
        <v>1048</v>
      </c>
      <c r="R31" s="340">
        <v>55</v>
      </c>
      <c r="S31" s="792" t="s">
        <v>243</v>
      </c>
      <c r="T31" s="792"/>
      <c r="W31" s="241" t="s">
        <v>1069</v>
      </c>
      <c r="X31" s="241">
        <v>0</v>
      </c>
      <c r="Y31" s="796" t="s">
        <v>1001</v>
      </c>
      <c r="Z31" s="796"/>
      <c r="AE31" s="792" t="s">
        <v>243</v>
      </c>
      <c r="AF31" s="79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1196</v>
      </c>
      <c r="BF31" s="340">
        <v>53</v>
      </c>
      <c r="BG31" s="204" t="s">
        <v>243</v>
      </c>
      <c r="BH31" s="204"/>
      <c r="BK31" s="258" t="s">
        <v>1218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1251</v>
      </c>
      <c r="BX31" s="217">
        <v>29.8</v>
      </c>
      <c r="BY31" s="204" t="s">
        <v>243</v>
      </c>
      <c r="BZ31" s="261"/>
      <c r="CC31" s="258" t="s">
        <v>1270</v>
      </c>
      <c r="CD31" s="217">
        <v>37</v>
      </c>
      <c r="CE31" s="204" t="s">
        <v>243</v>
      </c>
      <c r="CF31" s="261"/>
      <c r="CI31" s="264" t="s">
        <v>1295</v>
      </c>
      <c r="CJ31" s="217">
        <v>9</v>
      </c>
      <c r="CK31" s="204" t="s">
        <v>243</v>
      </c>
      <c r="CL31" s="261"/>
      <c r="CO31" s="217" t="s">
        <v>1320</v>
      </c>
      <c r="CQ31" s="204" t="s">
        <v>243</v>
      </c>
      <c r="CR31" s="261"/>
      <c r="CU31" s="264" t="s">
        <v>1370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1418</v>
      </c>
      <c r="DG31" s="256" t="s">
        <v>1190</v>
      </c>
      <c r="DH31" s="261">
        <v>13</v>
      </c>
      <c r="DI31" s="218" t="s">
        <v>1452</v>
      </c>
      <c r="DJ31" s="472">
        <v>5000</v>
      </c>
      <c r="DK31" s="204"/>
      <c r="DM31" s="269" t="s">
        <v>1483</v>
      </c>
      <c r="DN31" s="261">
        <v>5</v>
      </c>
      <c r="DO31" s="780" t="s">
        <v>1433</v>
      </c>
      <c r="DP31" s="780"/>
      <c r="DQ31" s="204"/>
      <c r="DS31" s="269" t="s">
        <v>1571</v>
      </c>
      <c r="DT31" s="261">
        <f>95+70</f>
        <v>165</v>
      </c>
      <c r="DU31" s="546" t="s">
        <v>1587</v>
      </c>
      <c r="DV31" s="547"/>
      <c r="DY31" s="218" t="s">
        <v>1610</v>
      </c>
      <c r="DZ31" s="218"/>
      <c r="EA31" s="218" t="s">
        <v>1609</v>
      </c>
      <c r="EB31" s="218">
        <v>991</v>
      </c>
      <c r="EE31" s="340" t="s">
        <v>1622</v>
      </c>
      <c r="EF31" s="340">
        <v>30</v>
      </c>
      <c r="EG31" s="285"/>
      <c r="EH31" s="340" t="s">
        <v>1536</v>
      </c>
      <c r="EL31" s="218" t="s">
        <v>1662</v>
      </c>
      <c r="EM31" s="218"/>
      <c r="EN31" s="340" t="s">
        <v>1668</v>
      </c>
      <c r="ER31" s="218" t="s">
        <v>1684</v>
      </c>
      <c r="ES31" s="218"/>
      <c r="ET31" s="325" t="s">
        <v>1658</v>
      </c>
      <c r="EU31" s="263">
        <v>326.35000000000002</v>
      </c>
      <c r="EX31" s="530" t="s">
        <v>1714</v>
      </c>
      <c r="EY31" s="309"/>
      <c r="EZ31" s="285" t="s">
        <v>1691</v>
      </c>
      <c r="FA31" s="318">
        <f>7000+1000</f>
        <v>8000</v>
      </c>
      <c r="FD31" s="530" t="s">
        <v>1770</v>
      </c>
      <c r="FE31" s="309"/>
      <c r="FF31" s="285" t="s">
        <v>1691</v>
      </c>
      <c r="FG31" s="318">
        <v>0</v>
      </c>
      <c r="FJ31" s="309" t="s">
        <v>1794</v>
      </c>
      <c r="FK31" s="309"/>
      <c r="FL31" s="285" t="s">
        <v>1562</v>
      </c>
      <c r="FM31" s="318">
        <v>1010</v>
      </c>
      <c r="FP31" s="297" t="s">
        <v>1831</v>
      </c>
      <c r="FQ31" s="340">
        <v>8</v>
      </c>
      <c r="FR31" s="285" t="s">
        <v>1690</v>
      </c>
      <c r="FS31" s="318">
        <v>0</v>
      </c>
      <c r="FT31" s="285" t="s">
        <v>1564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1627</v>
      </c>
      <c r="FY31" s="332"/>
      <c r="GB31" s="297" t="s">
        <v>1929</v>
      </c>
      <c r="GC31" s="340">
        <v>20</v>
      </c>
      <c r="GD31" s="483" t="s">
        <v>1627</v>
      </c>
      <c r="GE31" s="332"/>
      <c r="GH31" s="297" t="s">
        <v>1528</v>
      </c>
      <c r="GI31" s="340">
        <v>66.62</v>
      </c>
      <c r="GJ31" s="285" t="s">
        <v>1883</v>
      </c>
      <c r="GK31" s="318">
        <v>0</v>
      </c>
      <c r="GN31" s="297" t="s">
        <v>2005</v>
      </c>
      <c r="GO31" s="340">
        <v>14.06</v>
      </c>
      <c r="GP31" s="483" t="s">
        <v>1627</v>
      </c>
      <c r="GQ31" s="332"/>
      <c r="GR31" s="285"/>
      <c r="GS31" s="244"/>
      <c r="GT31" s="297" t="s">
        <v>2024</v>
      </c>
      <c r="GU31" s="340">
        <v>47.67</v>
      </c>
      <c r="GV31" s="325"/>
      <c r="GZ31" s="297" t="s">
        <v>2086</v>
      </c>
      <c r="HA31" s="340">
        <v>41.4</v>
      </c>
      <c r="HB31" s="325" t="s">
        <v>2094</v>
      </c>
      <c r="HC31" s="335">
        <v>1159.4000000000001</v>
      </c>
      <c r="HF31" s="534">
        <v>200</v>
      </c>
      <c r="HG31" s="536"/>
      <c r="HH31" s="500" t="s">
        <v>2097</v>
      </c>
      <c r="HI31" s="499">
        <v>23.05</v>
      </c>
      <c r="HJ31" s="530" t="s">
        <v>2153</v>
      </c>
      <c r="HK31" s="534">
        <v>300</v>
      </c>
      <c r="HL31" s="540">
        <v>45</v>
      </c>
      <c r="HM31" s="530" t="s">
        <v>1597</v>
      </c>
      <c r="HP31" s="299" t="s">
        <v>2125</v>
      </c>
      <c r="HQ31" s="505">
        <f>SUM(HS12:HS23)</f>
        <v>1323.1366666666668</v>
      </c>
      <c r="HR31" s="217" t="s">
        <v>2155</v>
      </c>
      <c r="HS31" s="217">
        <v>429</v>
      </c>
      <c r="HT31" s="285" t="s">
        <v>1633</v>
      </c>
      <c r="HU31" s="318">
        <v>2000</v>
      </c>
      <c r="HX31" s="340" t="s">
        <v>2156</v>
      </c>
      <c r="HY31" s="204">
        <v>20</v>
      </c>
      <c r="HZ31" s="474" t="s">
        <v>1963</v>
      </c>
      <c r="IA31" s="340">
        <v>1000</v>
      </c>
      <c r="IB31" s="297" t="s">
        <v>2123</v>
      </c>
      <c r="IC31" s="340">
        <f>SUM(IE27:IE35)</f>
        <v>712.47</v>
      </c>
      <c r="ID31" s="297" t="s">
        <v>2306</v>
      </c>
      <c r="IE31" s="340">
        <v>10</v>
      </c>
      <c r="IF31" s="325" t="s">
        <v>2217</v>
      </c>
      <c r="IG31" s="541">
        <v>125.91</v>
      </c>
      <c r="IH31" s="499"/>
      <c r="II31" s="327"/>
      <c r="IJ31" s="297" t="s">
        <v>2374</v>
      </c>
      <c r="IK31" s="340">
        <f>22+32.4</f>
        <v>54.4</v>
      </c>
      <c r="IL31" s="325"/>
      <c r="IM31" s="332"/>
      <c r="IN31" s="506"/>
      <c r="IP31" s="297" t="s">
        <v>2428</v>
      </c>
      <c r="IQ31" s="202">
        <v>42.17</v>
      </c>
      <c r="IR31" s="325"/>
      <c r="IV31" s="540">
        <v>50</v>
      </c>
      <c r="IW31" s="545" t="s">
        <v>1822</v>
      </c>
      <c r="IX31" s="340" t="s">
        <v>93</v>
      </c>
      <c r="IZ31" s="304" t="s">
        <v>1387</v>
      </c>
      <c r="JA31" s="259">
        <f>SUM(JC8:JC10)</f>
        <v>1354.32</v>
      </c>
      <c r="JB31" s="383" t="s">
        <v>2546</v>
      </c>
      <c r="JC31" s="335">
        <v>74.959999999999994</v>
      </c>
      <c r="JD31" s="340" t="s">
        <v>1034</v>
      </c>
      <c r="JF31" s="300" t="s">
        <v>2124</v>
      </c>
      <c r="JG31" s="311">
        <f>SUM(JI9:JI11)</f>
        <v>2683.17</v>
      </c>
      <c r="JH31" s="297" t="s">
        <v>2595</v>
      </c>
      <c r="JI31" s="335">
        <f>6.2+29.5</f>
        <v>35.700000000000003</v>
      </c>
      <c r="JL31" s="302" t="s">
        <v>2125</v>
      </c>
      <c r="JM31" s="259">
        <f>SUM(JO14:JO21)</f>
        <v>1710.4379999999999</v>
      </c>
      <c r="JN31" s="536" t="s">
        <v>1406</v>
      </c>
      <c r="JO31" s="537">
        <f>JK22+JM35-JQ20</f>
        <v>770</v>
      </c>
      <c r="JQ31" s="259"/>
      <c r="JR31" s="297" t="s">
        <v>2820</v>
      </c>
      <c r="JS31" s="548">
        <f>SUM(JU24:JU27)</f>
        <v>169.60000000000002</v>
      </c>
      <c r="JT31" s="536" t="s">
        <v>1406</v>
      </c>
      <c r="JU31" s="537">
        <f>JQ20+JS34-JW19</f>
        <v>70</v>
      </c>
      <c r="JZ31" s="299" t="s">
        <v>2693</v>
      </c>
      <c r="KA31" s="202">
        <v>10.8</v>
      </c>
      <c r="KB31" s="340" t="s">
        <v>1034</v>
      </c>
      <c r="KD31" s="304" t="s">
        <v>1387</v>
      </c>
      <c r="KE31" s="259">
        <v>0</v>
      </c>
      <c r="KF31" s="536" t="s">
        <v>1406</v>
      </c>
      <c r="KG31" s="537">
        <f>KC19+KE36-KI27</f>
        <v>190</v>
      </c>
      <c r="KH31" s="325" t="s">
        <v>2768</v>
      </c>
      <c r="KI31" s="202">
        <v>1.64</v>
      </c>
      <c r="KK31" s="285"/>
      <c r="KL31" s="297" t="s">
        <v>2618</v>
      </c>
      <c r="KM31" s="335">
        <v>57.86</v>
      </c>
      <c r="KN31" s="474" t="s">
        <v>2959</v>
      </c>
      <c r="KO31" s="202">
        <v>3.54</v>
      </c>
      <c r="KQ31" s="285"/>
      <c r="KR31" s="297" t="s">
        <v>3017</v>
      </c>
      <c r="KS31" s="202">
        <v>43.9</v>
      </c>
      <c r="KT31" s="325" t="s">
        <v>3015</v>
      </c>
      <c r="KU31" s="202">
        <v>95</v>
      </c>
      <c r="KV31" s="606"/>
      <c r="KW31" s="605"/>
      <c r="KX31" s="143" t="s">
        <v>2303</v>
      </c>
      <c r="KY31" s="202">
        <f>16.79+10+18.2+10+17.89+10+21.84+10.3+10+19.32+2.2+15.96+15</f>
        <v>177.5</v>
      </c>
      <c r="KZ31" s="608"/>
      <c r="LA31" s="202"/>
      <c r="LB31" s="631"/>
      <c r="LC31" s="631"/>
      <c r="LD31" s="143" t="s">
        <v>2303</v>
      </c>
      <c r="LE31" s="202">
        <f>15+16.38+16.09+15.91+10+16.16+19.63</f>
        <v>109.16999999999999</v>
      </c>
      <c r="LF31" s="633"/>
      <c r="LG31" s="259"/>
      <c r="LH31" s="442" t="s">
        <v>1922</v>
      </c>
      <c r="LI31" s="260">
        <f>SUM(LK6:LK7)</f>
        <v>1900.02</v>
      </c>
      <c r="LJ31" s="297" t="s">
        <v>3190</v>
      </c>
      <c r="LK31" s="335">
        <f>45.98+50</f>
        <v>95.97999999999999</v>
      </c>
      <c r="LL31" s="649" t="s">
        <v>2402</v>
      </c>
      <c r="LM31" s="202"/>
      <c r="LN31" s="442" t="s">
        <v>1922</v>
      </c>
      <c r="LO31" s="261">
        <f>SUM(LQ6:LQ10)</f>
        <v>8400.23</v>
      </c>
      <c r="LP31" s="297" t="s">
        <v>3217</v>
      </c>
      <c r="LQ31" s="202">
        <v>78.650000000000006</v>
      </c>
      <c r="LR31" s="694" t="s">
        <v>3250</v>
      </c>
      <c r="LS31" s="677">
        <v>8</v>
      </c>
      <c r="LT31" s="445" t="s">
        <v>2798</v>
      </c>
      <c r="LU31" s="202">
        <f>SUM(LW19:LW26)</f>
        <v>0</v>
      </c>
      <c r="LV31" s="297" t="s">
        <v>1857</v>
      </c>
      <c r="LW31" s="202"/>
      <c r="LX31" s="734" t="s">
        <v>3250</v>
      </c>
      <c r="LY31" s="728">
        <v>8</v>
      </c>
      <c r="LZ31" s="202"/>
    </row>
    <row r="32" spans="1:338">
      <c r="A32" s="796" t="s">
        <v>1001</v>
      </c>
      <c r="B32" s="796"/>
      <c r="C32" s="244"/>
      <c r="D32" s="244"/>
      <c r="E32" s="244"/>
      <c r="F32" s="244"/>
      <c r="G32" s="796" t="s">
        <v>1001</v>
      </c>
      <c r="H32" s="796"/>
      <c r="K32" s="241" t="s">
        <v>1021</v>
      </c>
      <c r="L32" s="241"/>
      <c r="M32" s="794" t="s">
        <v>1034</v>
      </c>
      <c r="N32" s="794"/>
      <c r="Q32" s="143" t="s">
        <v>1016</v>
      </c>
      <c r="R32" s="340">
        <v>77.239999999999995</v>
      </c>
      <c r="S32" s="794" t="s">
        <v>1034</v>
      </c>
      <c r="T32" s="794"/>
      <c r="Y32" s="792" t="s">
        <v>243</v>
      </c>
      <c r="Z32" s="792"/>
      <c r="AC32" s="196" t="s">
        <v>1012</v>
      </c>
      <c r="AD32" s="340">
        <v>350</v>
      </c>
      <c r="AE32" s="794" t="s">
        <v>1034</v>
      </c>
      <c r="AF32" s="79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1195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1226</v>
      </c>
      <c r="BR32" s="217" t="s">
        <v>1220</v>
      </c>
      <c r="BS32" s="325" t="s">
        <v>1034</v>
      </c>
      <c r="BT32" s="332"/>
      <c r="BW32" s="258"/>
      <c r="BY32" s="325" t="s">
        <v>1034</v>
      </c>
      <c r="BZ32" s="335"/>
      <c r="CC32" s="258" t="s">
        <v>1278</v>
      </c>
      <c r="CD32" s="217">
        <v>82.15</v>
      </c>
      <c r="CE32" s="325" t="s">
        <v>1034</v>
      </c>
      <c r="CF32" s="335"/>
      <c r="CI32" s="264" t="s">
        <v>1294</v>
      </c>
      <c r="CJ32" s="217">
        <v>28.6</v>
      </c>
      <c r="CK32" s="325" t="s">
        <v>1034</v>
      </c>
      <c r="CL32" s="335"/>
      <c r="CO32" s="217" t="s">
        <v>1337</v>
      </c>
      <c r="CP32" s="217">
        <v>60</v>
      </c>
      <c r="CQ32" s="325" t="s">
        <v>1034</v>
      </c>
      <c r="CR32" s="335"/>
      <c r="CU32" s="217" t="s">
        <v>1335</v>
      </c>
      <c r="CV32" s="217">
        <v>11</v>
      </c>
      <c r="CW32" s="340" t="s">
        <v>1146</v>
      </c>
      <c r="CX32" s="335"/>
      <c r="DA32" s="790" t="s">
        <v>1406</v>
      </c>
      <c r="DB32" s="791"/>
      <c r="DC32" s="285" t="s">
        <v>93</v>
      </c>
      <c r="DD32" s="261"/>
      <c r="DE32" s="204" t="s">
        <v>1470</v>
      </c>
      <c r="DF32" s="217">
        <v>307.61</v>
      </c>
      <c r="DG32" s="256" t="s">
        <v>1281</v>
      </c>
      <c r="DH32" s="261">
        <f>140.45+146.45</f>
        <v>286.89999999999998</v>
      </c>
      <c r="DI32" s="218" t="s">
        <v>1478</v>
      </c>
      <c r="DJ32" s="472">
        <v>10000</v>
      </c>
      <c r="DM32" s="269" t="s">
        <v>1503</v>
      </c>
      <c r="DN32" s="261">
        <v>20</v>
      </c>
      <c r="DO32" s="527" t="s">
        <v>1497</v>
      </c>
      <c r="DP32" s="527"/>
      <c r="DS32" s="269" t="s">
        <v>1582</v>
      </c>
      <c r="DT32" s="261">
        <v>8.5</v>
      </c>
      <c r="DU32" s="550" t="s">
        <v>1586</v>
      </c>
      <c r="DV32" s="551">
        <v>1583.97</v>
      </c>
      <c r="DY32" s="218"/>
      <c r="DZ32" s="218"/>
      <c r="EE32" s="204" t="s">
        <v>1613</v>
      </c>
      <c r="EF32" s="285">
        <v>77.37</v>
      </c>
      <c r="EH32" s="340" t="s">
        <v>93</v>
      </c>
      <c r="EL32" s="218" t="s">
        <v>1663</v>
      </c>
      <c r="EM32" s="218"/>
      <c r="EN32" s="340" t="s">
        <v>1536</v>
      </c>
      <c r="ER32" s="218" t="s">
        <v>1685</v>
      </c>
      <c r="ES32" s="218"/>
      <c r="ET32" s="325" t="s">
        <v>1701</v>
      </c>
      <c r="EU32" s="260">
        <v>1178</v>
      </c>
      <c r="EX32" s="530" t="s">
        <v>1728</v>
      </c>
      <c r="EY32" s="309"/>
      <c r="EZ32" s="285" t="s">
        <v>1690</v>
      </c>
      <c r="FA32" s="318" t="s">
        <v>686</v>
      </c>
      <c r="FD32" s="530" t="s">
        <v>1764</v>
      </c>
      <c r="FE32" s="309"/>
      <c r="FF32" s="285" t="s">
        <v>1690</v>
      </c>
      <c r="FG32" s="318">
        <v>0</v>
      </c>
      <c r="FJ32" s="530" t="s">
        <v>1791</v>
      </c>
      <c r="FK32" s="309"/>
      <c r="FL32" s="285" t="s">
        <v>1562</v>
      </c>
      <c r="FM32" s="318">
        <v>6010</v>
      </c>
      <c r="FP32" s="297" t="s">
        <v>1839</v>
      </c>
      <c r="FQ32" s="340">
        <f>6+4.39+49</f>
        <v>59.39</v>
      </c>
      <c r="FR32" s="483" t="s">
        <v>1627</v>
      </c>
      <c r="FS32" s="332"/>
      <c r="FV32" s="309" t="s">
        <v>1888</v>
      </c>
      <c r="FW32" s="309"/>
      <c r="FX32" s="325"/>
      <c r="FY32" s="332"/>
      <c r="GB32" s="297" t="s">
        <v>1483</v>
      </c>
      <c r="GC32" s="340">
        <v>10</v>
      </c>
      <c r="GD32" s="325"/>
      <c r="GE32" s="332"/>
      <c r="GH32" s="536" t="s">
        <v>1741</v>
      </c>
      <c r="GI32" s="536"/>
      <c r="GJ32" s="483" t="s">
        <v>1627</v>
      </c>
      <c r="GK32" s="332"/>
      <c r="GN32" s="297" t="s">
        <v>2001</v>
      </c>
      <c r="GO32" s="340">
        <v>10</v>
      </c>
      <c r="GP32" s="552" t="s">
        <v>1942</v>
      </c>
      <c r="GQ32" s="204">
        <v>35.1</v>
      </c>
      <c r="GT32" s="297" t="s">
        <v>2732</v>
      </c>
      <c r="GU32" s="340">
        <f>37.5+18.7</f>
        <v>56.2</v>
      </c>
      <c r="GV32" s="325"/>
      <c r="GW32" s="332"/>
      <c r="GZ32" s="297" t="s">
        <v>2078</v>
      </c>
      <c r="HA32" s="340">
        <f>12.35+5.8</f>
        <v>18.149999999999999</v>
      </c>
      <c r="HB32" s="325" t="s">
        <v>2068</v>
      </c>
      <c r="HC32" s="335">
        <v>13.5</v>
      </c>
      <c r="HF32" s="309" t="s">
        <v>2092</v>
      </c>
      <c r="HG32" s="307">
        <f>HC17+HF31-HI16</f>
        <v>200</v>
      </c>
      <c r="HH32" s="507" t="s">
        <v>2110</v>
      </c>
      <c r="HI32" s="506">
        <v>1580.64</v>
      </c>
      <c r="HK32" s="308"/>
      <c r="HL32" s="540">
        <v>5</v>
      </c>
      <c r="HM32" s="530" t="s">
        <v>2157</v>
      </c>
      <c r="HP32" s="299" t="s">
        <v>2197</v>
      </c>
      <c r="HQ32" s="505"/>
      <c r="HR32" s="535">
        <v>28.54</v>
      </c>
      <c r="HS32" s="217" t="s">
        <v>2154</v>
      </c>
      <c r="HT32" s="285" t="s">
        <v>1634</v>
      </c>
      <c r="HU32" s="318">
        <v>4000</v>
      </c>
      <c r="HX32" s="340" t="s">
        <v>2223</v>
      </c>
      <c r="HY32" s="204">
        <v>10</v>
      </c>
      <c r="HZ32" s="285" t="s">
        <v>1976</v>
      </c>
      <c r="IA32" s="318">
        <v>3000</v>
      </c>
      <c r="IB32" s="297" t="s">
        <v>2604</v>
      </c>
      <c r="IC32" s="340">
        <f>SUM(IE31:IE35)</f>
        <v>210.71</v>
      </c>
      <c r="ID32" s="297" t="s">
        <v>2301</v>
      </c>
      <c r="IE32" s="340">
        <f>40.3+11+11.4+19.2</f>
        <v>81.899999999999991</v>
      </c>
      <c r="IF32" s="325" t="s">
        <v>2311</v>
      </c>
      <c r="IG32" s="332">
        <v>146</v>
      </c>
      <c r="IH32" s="499"/>
      <c r="II32" s="327"/>
      <c r="IJ32" s="297" t="s">
        <v>2375</v>
      </c>
      <c r="IK32" s="340">
        <f>10.1+8+57.3+1.6</f>
        <v>77</v>
      </c>
      <c r="IL32" s="340" t="s">
        <v>506</v>
      </c>
      <c r="IN32" s="777" t="s">
        <v>2129</v>
      </c>
      <c r="IO32" s="777"/>
      <c r="IP32" s="297" t="s">
        <v>2447</v>
      </c>
      <c r="IQ32" s="202">
        <v>6.5</v>
      </c>
      <c r="IR32" s="340" t="s">
        <v>506</v>
      </c>
      <c r="IV32" s="540">
        <v>10</v>
      </c>
      <c r="IW32" s="545" t="s">
        <v>2498</v>
      </c>
      <c r="IX32" s="340" t="s">
        <v>2318</v>
      </c>
      <c r="IZ32" s="300" t="s">
        <v>2124</v>
      </c>
      <c r="JA32" s="259">
        <f>SUM(JC11:JC13)</f>
        <v>762.4899999999999</v>
      </c>
      <c r="JB32" s="383" t="s">
        <v>2564</v>
      </c>
      <c r="JC32" s="335">
        <v>74.13</v>
      </c>
      <c r="JF32" s="302" t="s">
        <v>2125</v>
      </c>
      <c r="JG32" s="259">
        <f>SUM(JI16:JI24)</f>
        <v>412.16</v>
      </c>
      <c r="JH32" s="340" t="s">
        <v>2894</v>
      </c>
      <c r="JI32" s="261">
        <v>78</v>
      </c>
      <c r="JJ32" s="340" t="s">
        <v>506</v>
      </c>
      <c r="JL32" s="297" t="s">
        <v>2123</v>
      </c>
      <c r="JM32" s="259">
        <f>SUM(JO22:JO27)</f>
        <v>3204.23</v>
      </c>
      <c r="JN32" s="540">
        <v>60</v>
      </c>
      <c r="JO32" s="545" t="s">
        <v>1822</v>
      </c>
      <c r="JQ32" s="259"/>
      <c r="JT32" s="540">
        <v>30</v>
      </c>
      <c r="JU32" s="545" t="s">
        <v>2670</v>
      </c>
      <c r="JZ32" s="299" t="s">
        <v>2303</v>
      </c>
      <c r="KA32" s="202">
        <f>16.3+16.34+12.3+10+15.21+16.19+10+16.01+15.57+10+10+15.19</f>
        <v>163.11000000000001</v>
      </c>
      <c r="KD32" s="300" t="s">
        <v>2124</v>
      </c>
      <c r="KE32" s="259">
        <f>SUM(KG7:KG7)</f>
        <v>10.25</v>
      </c>
      <c r="KF32" s="540">
        <v>10</v>
      </c>
      <c r="KG32" s="553" t="s">
        <v>2724</v>
      </c>
      <c r="KH32" s="325" t="s">
        <v>2825</v>
      </c>
      <c r="KI32" s="202"/>
      <c r="KL32" s="297" t="s">
        <v>3261</v>
      </c>
      <c r="KM32" s="335">
        <v>36.5</v>
      </c>
      <c r="KN32" s="340" t="s">
        <v>2925</v>
      </c>
      <c r="KO32" s="202">
        <v>58.2</v>
      </c>
      <c r="KR32" s="297" t="s">
        <v>3037</v>
      </c>
      <c r="KS32" s="202">
        <v>24.5</v>
      </c>
      <c r="KT32" s="325"/>
      <c r="KU32" s="202"/>
      <c r="KV32" s="617"/>
      <c r="KW32" s="616"/>
      <c r="KX32" s="297" t="s">
        <v>3065</v>
      </c>
      <c r="KY32" s="202">
        <v>40</v>
      </c>
      <c r="KZ32" s="609"/>
      <c r="LD32" s="297" t="s">
        <v>3130</v>
      </c>
      <c r="LE32" s="202">
        <v>40</v>
      </c>
      <c r="LF32" s="642"/>
      <c r="LH32" s="312" t="s">
        <v>2947</v>
      </c>
      <c r="LI32" s="260">
        <f>SUM(LK20:LK20)</f>
        <v>1154.33</v>
      </c>
      <c r="LJ32" s="297" t="s">
        <v>3198</v>
      </c>
      <c r="LK32" s="335">
        <v>43.76</v>
      </c>
      <c r="LL32" s="671" t="s">
        <v>3177</v>
      </c>
      <c r="LM32" s="202">
        <v>37.99</v>
      </c>
      <c r="LN32" s="722" t="s">
        <v>3295</v>
      </c>
      <c r="LO32" s="261">
        <f>SUM(LQ11:LQ11)</f>
        <v>2000</v>
      </c>
      <c r="LP32" s="297" t="s">
        <v>3249</v>
      </c>
      <c r="LQ32" s="202">
        <f>9.79+12.29</f>
        <v>22.08</v>
      </c>
      <c r="LT32" s="297" t="s">
        <v>2123</v>
      </c>
      <c r="LU32" s="202">
        <f>SUM(LW27:LW32)</f>
        <v>0</v>
      </c>
      <c r="LV32" s="297" t="s">
        <v>1857</v>
      </c>
      <c r="LW32" s="335"/>
      <c r="LZ32" s="202"/>
    </row>
    <row r="33" spans="1:338">
      <c r="A33" s="792" t="s">
        <v>243</v>
      </c>
      <c r="B33" s="792"/>
      <c r="E33" s="187" t="s">
        <v>368</v>
      </c>
      <c r="F33" s="170"/>
      <c r="G33" s="792" t="s">
        <v>243</v>
      </c>
      <c r="H33" s="79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4" t="s">
        <v>1034</v>
      </c>
      <c r="Z33" s="79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1202</v>
      </c>
      <c r="BF33" s="340">
        <v>18</v>
      </c>
      <c r="BK33" s="217" t="s">
        <v>1222</v>
      </c>
      <c r="BL33" s="217" t="s">
        <v>1220</v>
      </c>
      <c r="BQ33" s="217" t="s">
        <v>1225</v>
      </c>
      <c r="BR33" s="217" t="s">
        <v>1220</v>
      </c>
      <c r="BW33" s="217" t="s">
        <v>1245</v>
      </c>
      <c r="BX33" s="217" t="s">
        <v>1244</v>
      </c>
      <c r="CC33" s="258" t="s">
        <v>1285</v>
      </c>
      <c r="CD33" s="217">
        <v>171.4</v>
      </c>
      <c r="CI33" s="264" t="s">
        <v>1291</v>
      </c>
      <c r="CJ33" s="217">
        <v>44</v>
      </c>
      <c r="CO33" s="217" t="s">
        <v>1321</v>
      </c>
      <c r="CP33" s="217">
        <v>24</v>
      </c>
      <c r="CU33" s="217" t="s">
        <v>1353</v>
      </c>
      <c r="CV33" s="217">
        <v>318</v>
      </c>
      <c r="CW33" s="483" t="s">
        <v>1001</v>
      </c>
      <c r="DA33" s="216" t="s">
        <v>1405</v>
      </c>
      <c r="DB33" s="216">
        <v>300</v>
      </c>
      <c r="DC33" s="340" t="s">
        <v>1146</v>
      </c>
      <c r="DD33" s="335"/>
      <c r="DE33" s="204" t="s">
        <v>1459</v>
      </c>
      <c r="DF33" s="217">
        <f>569.34-527</f>
        <v>42.340000000000032</v>
      </c>
      <c r="DG33" s="256" t="s">
        <v>1329</v>
      </c>
      <c r="DH33" s="261">
        <f>2*(11+53.24)</f>
        <v>128.48000000000002</v>
      </c>
      <c r="DI33" s="218"/>
      <c r="DJ33" s="472"/>
      <c r="DM33" s="269" t="s">
        <v>1514</v>
      </c>
      <c r="DN33" s="261">
        <v>10</v>
      </c>
      <c r="DP33" s="286"/>
      <c r="DS33" s="269" t="s">
        <v>1520</v>
      </c>
      <c r="DT33" s="274">
        <v>11.41</v>
      </c>
      <c r="DU33" s="527" t="s">
        <v>1583</v>
      </c>
      <c r="DV33" s="527">
        <v>214</v>
      </c>
      <c r="DY33" s="340" t="s">
        <v>1315</v>
      </c>
      <c r="DZ33" s="340">
        <f>55.46-17.24</f>
        <v>38.22</v>
      </c>
      <c r="EA33" s="197" t="s">
        <v>506</v>
      </c>
      <c r="EE33" s="340" t="s">
        <v>1614</v>
      </c>
      <c r="EF33" s="340">
        <v>10.77</v>
      </c>
      <c r="EH33" s="340" t="s">
        <v>1146</v>
      </c>
      <c r="EL33" s="218" t="s">
        <v>1664</v>
      </c>
      <c r="EM33" s="218"/>
      <c r="EN33" s="340" t="s">
        <v>93</v>
      </c>
      <c r="ER33" s="218" t="s">
        <v>1700</v>
      </c>
      <c r="ES33" s="218"/>
      <c r="EX33" s="530" t="s">
        <v>1727</v>
      </c>
      <c r="EY33" s="309"/>
      <c r="EZ33" s="483" t="s">
        <v>1627</v>
      </c>
      <c r="FA33" s="332" t="s">
        <v>686</v>
      </c>
      <c r="FD33" s="530" t="s">
        <v>1665</v>
      </c>
      <c r="FE33" s="218"/>
      <c r="FF33" s="483" t="s">
        <v>1627</v>
      </c>
      <c r="FG33" s="332" t="s">
        <v>686</v>
      </c>
      <c r="FJ33" s="530" t="s">
        <v>1806</v>
      </c>
      <c r="FK33" s="309"/>
      <c r="FL33" s="285" t="s">
        <v>1562</v>
      </c>
      <c r="FM33" s="318">
        <v>10010</v>
      </c>
      <c r="FP33" s="297" t="s">
        <v>1850</v>
      </c>
      <c r="FQ33" s="340">
        <v>26.78</v>
      </c>
      <c r="FR33" s="325" t="s">
        <v>1845</v>
      </c>
      <c r="FS33" s="332">
        <v>53.5</v>
      </c>
      <c r="FV33" s="530" t="s">
        <v>1822</v>
      </c>
      <c r="FW33" s="309"/>
      <c r="FX33" s="325"/>
      <c r="FY33" s="332"/>
      <c r="GB33" s="536" t="s">
        <v>1741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1942</v>
      </c>
      <c r="GK33" s="204">
        <v>35.1</v>
      </c>
      <c r="GN33" s="297" t="s">
        <v>1991</v>
      </c>
      <c r="GO33" s="340">
        <v>20</v>
      </c>
      <c r="GP33" s="325" t="s">
        <v>1995</v>
      </c>
      <c r="GQ33" s="332">
        <v>81</v>
      </c>
      <c r="GT33" s="536" t="s">
        <v>1741</v>
      </c>
      <c r="GU33" s="218"/>
      <c r="GV33" s="340" t="s">
        <v>506</v>
      </c>
      <c r="GZ33" s="297" t="s">
        <v>2053</v>
      </c>
      <c r="HA33" s="340">
        <v>31.78</v>
      </c>
      <c r="HB33" s="325" t="s">
        <v>2062</v>
      </c>
      <c r="HC33" s="335">
        <v>12.9</v>
      </c>
      <c r="HF33" s="554">
        <v>35</v>
      </c>
      <c r="HG33" s="315" t="s">
        <v>2083</v>
      </c>
      <c r="HH33" s="507" t="s">
        <v>2128</v>
      </c>
      <c r="HI33" s="506">
        <v>6.1</v>
      </c>
      <c r="HL33" s="540">
        <v>17</v>
      </c>
      <c r="HM33" s="530" t="s">
        <v>2150</v>
      </c>
      <c r="HP33" s="297" t="s">
        <v>2123</v>
      </c>
      <c r="HQ33" s="340">
        <f>SUM(HS24:HS29)</f>
        <v>160.6</v>
      </c>
      <c r="HR33" s="536" t="s">
        <v>2169</v>
      </c>
      <c r="HS33" s="537">
        <f>HO18+HQ36-HU24</f>
        <v>100</v>
      </c>
      <c r="HT33" s="483"/>
      <c r="HU33" s="332"/>
      <c r="HX33" s="217" t="s">
        <v>2155</v>
      </c>
      <c r="HY33" s="217">
        <v>434</v>
      </c>
      <c r="HZ33" s="285" t="s">
        <v>2130</v>
      </c>
      <c r="IA33" s="318">
        <v>4000</v>
      </c>
      <c r="IB33" s="213" t="s">
        <v>2477</v>
      </c>
      <c r="IC33" s="340">
        <f>SUM(IE54:IE58)</f>
        <v>235.25000000000003</v>
      </c>
      <c r="ID33" s="297" t="s">
        <v>2277</v>
      </c>
      <c r="IE33" s="340">
        <v>30.01</v>
      </c>
      <c r="IH33" s="499"/>
      <c r="II33" s="327"/>
      <c r="IJ33" s="297" t="s">
        <v>2733</v>
      </c>
      <c r="IK33" s="340">
        <v>27.9</v>
      </c>
      <c r="IL33" s="340" t="s">
        <v>93</v>
      </c>
      <c r="IN33" s="305" t="s">
        <v>1922</v>
      </c>
      <c r="IO33" s="260">
        <f>SUM(IQ6:IQ9)</f>
        <v>3943.01</v>
      </c>
      <c r="IP33" s="340" t="s">
        <v>2897</v>
      </c>
      <c r="IQ33" s="261">
        <v>40</v>
      </c>
      <c r="IR33" s="340" t="s">
        <v>93</v>
      </c>
      <c r="IU33" s="484"/>
      <c r="IV33" s="482" t="s">
        <v>2485</v>
      </c>
      <c r="IW33" s="488">
        <v>70</v>
      </c>
      <c r="IX33" s="340" t="s">
        <v>1668</v>
      </c>
      <c r="IZ33" s="302" t="s">
        <v>2125</v>
      </c>
      <c r="JA33" s="259">
        <f>SUM(JC17:JC25)</f>
        <v>1699.2099999999998</v>
      </c>
      <c r="JB33" s="383" t="s">
        <v>2871</v>
      </c>
      <c r="JC33" s="335">
        <v>24.71</v>
      </c>
      <c r="JF33" s="297" t="s">
        <v>2123</v>
      </c>
      <c r="JG33" s="259">
        <f>SUM(JI25:JI31)</f>
        <v>353.64</v>
      </c>
      <c r="JH33" s="217" t="s">
        <v>2155</v>
      </c>
      <c r="JI33" s="274">
        <f>158+69+34+259</f>
        <v>520</v>
      </c>
      <c r="JJ33" s="340" t="s">
        <v>93</v>
      </c>
      <c r="JL33" s="297" t="s">
        <v>2655</v>
      </c>
      <c r="JM33" s="259">
        <f>SUM(JO23:JO27)</f>
        <v>251.23</v>
      </c>
      <c r="JN33" s="540">
        <v>40</v>
      </c>
      <c r="JO33" s="545" t="s">
        <v>2626</v>
      </c>
      <c r="JQ33" s="259"/>
      <c r="JT33" s="540">
        <v>10</v>
      </c>
      <c r="JU33" s="545" t="s">
        <v>1822</v>
      </c>
      <c r="JZ33" s="297" t="s">
        <v>2994</v>
      </c>
      <c r="KA33" s="202">
        <f>80+115</f>
        <v>195</v>
      </c>
      <c r="KD33" s="302" t="s">
        <v>2798</v>
      </c>
      <c r="KE33" s="259">
        <f>SUM(KG11:KG19)</f>
        <v>1038.25</v>
      </c>
      <c r="KF33" s="540">
        <v>70</v>
      </c>
      <c r="KG33" s="545" t="s">
        <v>1822</v>
      </c>
      <c r="KH33" s="325" t="s">
        <v>2832</v>
      </c>
      <c r="KI33" s="335">
        <v>52.8</v>
      </c>
      <c r="KL33" s="297" t="s">
        <v>3264</v>
      </c>
      <c r="KM33" s="335">
        <v>50.1</v>
      </c>
      <c r="KN33" s="325" t="s">
        <v>2936</v>
      </c>
      <c r="KO33" s="202">
        <v>16.3</v>
      </c>
      <c r="KR33" s="297" t="s">
        <v>3018</v>
      </c>
      <c r="KS33" s="335">
        <v>48.11</v>
      </c>
      <c r="KT33" s="325"/>
      <c r="KU33" s="202"/>
      <c r="KV33" s="617"/>
      <c r="KW33" s="616"/>
      <c r="KX33" s="297" t="s">
        <v>3052</v>
      </c>
      <c r="KY33" s="202">
        <v>10</v>
      </c>
      <c r="KZ33" s="594"/>
      <c r="LA33" s="202"/>
      <c r="LD33" s="297" t="s">
        <v>3113</v>
      </c>
      <c r="LE33" s="202">
        <f>530+3</f>
        <v>533</v>
      </c>
      <c r="LF33" s="619" t="s">
        <v>2972</v>
      </c>
      <c r="LH33" s="443" t="s">
        <v>2935</v>
      </c>
      <c r="LI33" s="259">
        <f>SUM(LK8:LK9)</f>
        <v>393.36</v>
      </c>
      <c r="LJ33" s="297" t="s">
        <v>3182</v>
      </c>
      <c r="LK33" s="335">
        <f>15.1+24.6</f>
        <v>39.700000000000003</v>
      </c>
      <c r="LL33" s="671" t="s">
        <v>3196</v>
      </c>
      <c r="LM33" s="202">
        <v>10184</v>
      </c>
      <c r="LN33" s="217" t="s">
        <v>2935</v>
      </c>
      <c r="LO33" s="202">
        <f>SUM(LQ12:LQ13)</f>
        <v>3219.09</v>
      </c>
      <c r="LP33" s="297" t="s">
        <v>3240</v>
      </c>
      <c r="LQ33" s="335">
        <v>32</v>
      </c>
      <c r="LT33" s="297" t="s">
        <v>2820</v>
      </c>
      <c r="LU33" s="691">
        <f>SUM(LW30:LW32)</f>
        <v>0</v>
      </c>
      <c r="LV33" s="217" t="s">
        <v>3168</v>
      </c>
      <c r="LW33" s="274"/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1194</v>
      </c>
      <c r="BF34" s="340">
        <f>5+5</f>
        <v>10</v>
      </c>
      <c r="BG34" s="340" t="s">
        <v>478</v>
      </c>
      <c r="BH34" s="340"/>
      <c r="BN34" s="340"/>
      <c r="BQ34" s="217" t="s">
        <v>1229</v>
      </c>
      <c r="BR34" s="217">
        <f>950+20+20+12</f>
        <v>1002</v>
      </c>
      <c r="BW34" s="217" t="s">
        <v>1249</v>
      </c>
      <c r="BX34" s="217" t="s">
        <v>1244</v>
      </c>
      <c r="CC34" s="217" t="s">
        <v>1277</v>
      </c>
      <c r="CD34" s="217">
        <v>72.5</v>
      </c>
      <c r="CO34" s="217" t="s">
        <v>1327</v>
      </c>
      <c r="CP34" s="252">
        <f>28.9+35</f>
        <v>63.9</v>
      </c>
      <c r="CV34" s="252"/>
      <c r="CW34" s="204"/>
      <c r="DA34" s="216" t="s">
        <v>1395</v>
      </c>
      <c r="DB34" s="216"/>
      <c r="DC34" s="483" t="s">
        <v>1001</v>
      </c>
      <c r="DE34" s="204" t="s">
        <v>1458</v>
      </c>
      <c r="DF34" s="217">
        <f>17663-17242</f>
        <v>421</v>
      </c>
      <c r="DG34" s="256" t="s">
        <v>1298</v>
      </c>
      <c r="DH34" s="261">
        <f>64+32</f>
        <v>96</v>
      </c>
      <c r="DI34" s="218" t="s">
        <v>1465</v>
      </c>
      <c r="DJ34" s="472">
        <v>5000</v>
      </c>
      <c r="DM34" s="269" t="s">
        <v>1516</v>
      </c>
      <c r="DN34" s="261">
        <v>42.37</v>
      </c>
      <c r="DO34" s="197" t="s">
        <v>506</v>
      </c>
      <c r="DS34" s="269" t="s">
        <v>1557</v>
      </c>
      <c r="DT34" s="261">
        <f>6.9+70.45</f>
        <v>77.350000000000009</v>
      </c>
      <c r="DV34" s="286"/>
      <c r="DY34" s="340" t="s">
        <v>1600</v>
      </c>
      <c r="DZ34" s="340">
        <v>60.2</v>
      </c>
      <c r="EA34" s="197" t="s">
        <v>1536</v>
      </c>
      <c r="EE34" s="340" t="s">
        <v>1613</v>
      </c>
      <c r="EF34" s="340">
        <v>113.2</v>
      </c>
      <c r="EH34" s="340" t="s">
        <v>1034</v>
      </c>
      <c r="EL34" s="218" t="s">
        <v>1665</v>
      </c>
      <c r="EM34" s="218"/>
      <c r="EN34" s="340" t="s">
        <v>1146</v>
      </c>
      <c r="ER34" s="218" t="s">
        <v>1715</v>
      </c>
      <c r="ES34" s="218"/>
      <c r="ET34" s="340" t="s">
        <v>506</v>
      </c>
      <c r="EX34" s="218"/>
      <c r="EY34" s="218"/>
      <c r="EZ34" s="325"/>
      <c r="FA34" s="260"/>
      <c r="FD34" s="285" t="s">
        <v>1754</v>
      </c>
      <c r="FE34" s="285"/>
      <c r="FF34" s="325" t="s">
        <v>1753</v>
      </c>
      <c r="FG34" s="261">
        <v>30</v>
      </c>
      <c r="FJ34" s="530" t="s">
        <v>1807</v>
      </c>
      <c r="FK34" s="218"/>
      <c r="FL34" s="285" t="s">
        <v>1492</v>
      </c>
      <c r="FM34" s="318" t="s">
        <v>1076</v>
      </c>
      <c r="FP34" s="297" t="s">
        <v>1840</v>
      </c>
      <c r="FQ34" s="340">
        <v>7</v>
      </c>
      <c r="FR34" s="325" t="s">
        <v>1873</v>
      </c>
      <c r="FS34" s="332">
        <v>-738</v>
      </c>
      <c r="FV34" s="530" t="s">
        <v>1910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1962</v>
      </c>
      <c r="GI34" s="309"/>
      <c r="GJ34" s="325" t="s">
        <v>1845</v>
      </c>
      <c r="GK34" s="332">
        <v>20</v>
      </c>
      <c r="GN34" s="297" t="s">
        <v>1981</v>
      </c>
      <c r="GO34" s="340">
        <v>23.9</v>
      </c>
      <c r="GP34" s="325" t="s">
        <v>2016</v>
      </c>
      <c r="GQ34" s="332">
        <v>298</v>
      </c>
      <c r="GT34" s="534">
        <v>280</v>
      </c>
      <c r="GU34" s="536"/>
      <c r="GV34" s="340" t="s">
        <v>1668</v>
      </c>
      <c r="GZ34" s="297" t="s">
        <v>2055</v>
      </c>
      <c r="HA34" s="340">
        <v>64.86</v>
      </c>
      <c r="HB34" s="325" t="s">
        <v>2062</v>
      </c>
      <c r="HC34" s="335">
        <v>22.5</v>
      </c>
      <c r="HF34" s="554">
        <v>40</v>
      </c>
      <c r="HG34" s="530" t="s">
        <v>2081</v>
      </c>
      <c r="HL34" s="540">
        <v>6</v>
      </c>
      <c r="HM34" s="530" t="s">
        <v>2138</v>
      </c>
      <c r="HP34" s="297" t="s">
        <v>2604</v>
      </c>
      <c r="HR34" s="540">
        <v>4</v>
      </c>
      <c r="HS34" s="530" t="s">
        <v>2199</v>
      </c>
      <c r="HT34" s="500"/>
      <c r="HU34" s="332"/>
      <c r="HX34" s="535">
        <v>34.909999999999997</v>
      </c>
      <c r="HY34" s="217"/>
      <c r="HZ34" s="285" t="s">
        <v>1978</v>
      </c>
      <c r="IA34" s="318">
        <v>25000</v>
      </c>
      <c r="ID34" s="297" t="s">
        <v>2286</v>
      </c>
      <c r="IE34" s="340">
        <v>40.840000000000003</v>
      </c>
      <c r="IF34" s="340" t="s">
        <v>506</v>
      </c>
      <c r="IH34" s="499"/>
      <c r="II34" s="327"/>
      <c r="IJ34" s="297" t="s">
        <v>2369</v>
      </c>
      <c r="IK34" s="340">
        <v>84.86</v>
      </c>
      <c r="IL34" s="340" t="s">
        <v>2318</v>
      </c>
      <c r="IN34" s="243" t="s">
        <v>1923</v>
      </c>
      <c r="IO34" s="260">
        <f>SUM(IQ12:IQ12)</f>
        <v>1833.7466666666667</v>
      </c>
      <c r="IP34" s="217" t="s">
        <v>2155</v>
      </c>
      <c r="IQ34" s="274">
        <f>102+308+94+155</f>
        <v>659</v>
      </c>
      <c r="IR34" s="340" t="s">
        <v>2318</v>
      </c>
      <c r="IU34" s="484"/>
      <c r="IV34" s="325" t="s">
        <v>2474</v>
      </c>
      <c r="IW34" s="340">
        <v>8.67</v>
      </c>
      <c r="IZ34" s="297" t="s">
        <v>2123</v>
      </c>
      <c r="JA34" s="259">
        <f>SUM(JC26:JC34)</f>
        <v>354.85099999999994</v>
      </c>
      <c r="JB34" s="297" t="s">
        <v>2563</v>
      </c>
      <c r="JC34" s="202">
        <v>55</v>
      </c>
      <c r="JF34" s="297" t="s">
        <v>2655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2617</v>
      </c>
      <c r="JR34" s="309" t="s">
        <v>2694</v>
      </c>
      <c r="JS34" s="534">
        <v>100</v>
      </c>
      <c r="JT34" s="540">
        <v>10</v>
      </c>
      <c r="JU34" s="545" t="s">
        <v>2672</v>
      </c>
      <c r="JZ34" s="297" t="s">
        <v>2723</v>
      </c>
      <c r="KA34" s="202">
        <v>175</v>
      </c>
      <c r="KD34" s="297" t="s">
        <v>2123</v>
      </c>
      <c r="KE34" s="259">
        <f>SUM(KG20:KG28)</f>
        <v>457.56100000000004</v>
      </c>
      <c r="KF34" s="540">
        <v>45</v>
      </c>
      <c r="KG34" s="545" t="s">
        <v>2172</v>
      </c>
      <c r="KH34" s="325" t="s">
        <v>2841</v>
      </c>
      <c r="KI34" s="340">
        <v>104</v>
      </c>
      <c r="KL34" s="297" t="s">
        <v>2957</v>
      </c>
      <c r="KM34" s="335">
        <v>121.7</v>
      </c>
      <c r="KN34" s="325" t="s">
        <v>2937</v>
      </c>
      <c r="KO34" s="202">
        <v>52.8</v>
      </c>
      <c r="KR34" s="297" t="s">
        <v>3019</v>
      </c>
      <c r="KS34" s="335">
        <v>60.23</v>
      </c>
      <c r="KT34" s="325"/>
      <c r="KU34" s="202"/>
      <c r="KV34" s="606"/>
      <c r="KW34" s="605"/>
      <c r="KX34" s="297" t="s">
        <v>3051</v>
      </c>
      <c r="KY34" s="202">
        <v>13.5</v>
      </c>
      <c r="KZ34" s="325" t="s">
        <v>2972</v>
      </c>
      <c r="LD34" s="297" t="s">
        <v>3119</v>
      </c>
      <c r="LE34" s="202">
        <v>42.9</v>
      </c>
      <c r="LF34" s="619" t="s">
        <v>3117</v>
      </c>
      <c r="LH34" s="301" t="s">
        <v>3152</v>
      </c>
      <c r="LI34" s="259">
        <f>SUM(LK10:LK16)</f>
        <v>1005.08</v>
      </c>
      <c r="LJ34" s="297" t="s">
        <v>3172</v>
      </c>
      <c r="LK34" s="335">
        <v>50.36</v>
      </c>
      <c r="LL34" s="658" t="s">
        <v>3151</v>
      </c>
      <c r="LM34" s="202">
        <v>28.82</v>
      </c>
      <c r="LN34" s="301" t="s">
        <v>3152</v>
      </c>
      <c r="LO34" s="202">
        <f>SUM(LQ14:LQ17)</f>
        <v>1348.41</v>
      </c>
      <c r="LP34" s="297" t="s">
        <v>3261</v>
      </c>
      <c r="LQ34" s="335">
        <v>36.799999999999997</v>
      </c>
      <c r="LV34" s="535">
        <v>20.13</v>
      </c>
      <c r="LW34" s="274"/>
      <c r="LZ34" s="202"/>
    </row>
    <row r="35" spans="1:338" ht="14.25" customHeight="1">
      <c r="A35" s="798"/>
      <c r="B35" s="798"/>
      <c r="E35" s="172" t="s">
        <v>403</v>
      </c>
      <c r="F35" s="170">
        <v>250</v>
      </c>
      <c r="G35" s="798"/>
      <c r="H35" s="798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1200</v>
      </c>
      <c r="BF35" s="340">
        <v>95</v>
      </c>
      <c r="BK35" s="217" t="s">
        <v>1170</v>
      </c>
      <c r="BL35" s="217">
        <v>200</v>
      </c>
      <c r="BW35" s="217" t="s">
        <v>1254</v>
      </c>
      <c r="BX35" s="217">
        <v>65</v>
      </c>
      <c r="CC35" s="217" t="s">
        <v>1275</v>
      </c>
      <c r="CD35" s="217">
        <v>83.85</v>
      </c>
      <c r="CI35" s="217" t="s">
        <v>1290</v>
      </c>
      <c r="CJ35" s="252">
        <v>46.65</v>
      </c>
      <c r="CK35" s="265"/>
      <c r="CO35" s="217" t="s">
        <v>1325</v>
      </c>
      <c r="CP35" s="217">
        <f>11.3+50.4</f>
        <v>61.7</v>
      </c>
      <c r="CQ35" s="265"/>
      <c r="CU35" s="217" t="s">
        <v>1343</v>
      </c>
      <c r="CV35" s="263">
        <v>412.25</v>
      </c>
      <c r="CW35" s="325" t="s">
        <v>1034</v>
      </c>
      <c r="DA35" s="216" t="s">
        <v>1398</v>
      </c>
      <c r="DB35" s="216"/>
      <c r="DC35" s="204" t="s">
        <v>243</v>
      </c>
      <c r="DE35" s="204" t="s">
        <v>1460</v>
      </c>
      <c r="DF35" s="217">
        <f>46147-45991</f>
        <v>156</v>
      </c>
      <c r="DG35" s="256" t="s">
        <v>1423</v>
      </c>
      <c r="DH35" s="261">
        <f>16.98+17.17+13.1+13.72+14.74+13.83</f>
        <v>89.54</v>
      </c>
      <c r="DI35" s="218" t="s">
        <v>1451</v>
      </c>
      <c r="DJ35" s="472">
        <v>5000</v>
      </c>
      <c r="DM35" s="269"/>
      <c r="DN35" s="261"/>
      <c r="DO35" s="197" t="s">
        <v>1536</v>
      </c>
      <c r="DP35" s="543"/>
      <c r="DS35" s="269" t="s">
        <v>1528</v>
      </c>
      <c r="DT35" s="261">
        <v>68.97</v>
      </c>
      <c r="DU35" s="197" t="s">
        <v>506</v>
      </c>
      <c r="DY35" s="265" t="s">
        <v>1771</v>
      </c>
      <c r="DZ35" s="340">
        <f>1379-100</f>
        <v>1279</v>
      </c>
      <c r="EA35" s="340" t="s">
        <v>93</v>
      </c>
      <c r="EG35" s="285"/>
      <c r="EL35" s="218" t="s">
        <v>1666</v>
      </c>
      <c r="EM35" s="218"/>
      <c r="EN35" s="340" t="s">
        <v>1034</v>
      </c>
      <c r="ER35" s="218"/>
      <c r="ES35" s="218"/>
      <c r="ET35" s="340" t="s">
        <v>1668</v>
      </c>
      <c r="EX35" s="285" t="s">
        <v>1712</v>
      </c>
      <c r="EY35" s="285">
        <v>202.2</v>
      </c>
      <c r="FD35" s="285" t="s">
        <v>1749</v>
      </c>
      <c r="FE35" s="285">
        <v>10.000999999999999</v>
      </c>
      <c r="FF35" s="325" t="s">
        <v>1765</v>
      </c>
      <c r="FG35" s="261">
        <v>67.400000000000006</v>
      </c>
      <c r="FJ35" s="204" t="s">
        <v>1774</v>
      </c>
      <c r="FK35" s="340">
        <v>720</v>
      </c>
      <c r="FL35" s="285" t="s">
        <v>1691</v>
      </c>
      <c r="FM35" s="318">
        <v>10005</v>
      </c>
      <c r="FP35" s="297" t="s">
        <v>1856</v>
      </c>
      <c r="FQ35" s="340">
        <v>49.23</v>
      </c>
      <c r="FR35" s="325"/>
      <c r="FS35" s="332"/>
      <c r="FV35" s="530" t="s">
        <v>1903</v>
      </c>
      <c r="FW35" s="309"/>
      <c r="FX35" s="340" t="s">
        <v>506</v>
      </c>
      <c r="GB35" s="309" t="s">
        <v>1916</v>
      </c>
      <c r="GC35" s="309"/>
      <c r="GH35" s="530" t="s">
        <v>1954</v>
      </c>
      <c r="GI35" s="309"/>
      <c r="GJ35" s="325" t="s">
        <v>1968</v>
      </c>
      <c r="GK35" s="332">
        <v>20</v>
      </c>
      <c r="GN35" s="297" t="s">
        <v>1983</v>
      </c>
      <c r="GO35" s="340">
        <v>95</v>
      </c>
      <c r="GT35" s="309" t="s">
        <v>2037</v>
      </c>
      <c r="GU35" s="307">
        <f>GQ17+GT34-GW16</f>
        <v>262</v>
      </c>
      <c r="GV35" s="340" t="s">
        <v>93</v>
      </c>
      <c r="GZ35" s="297" t="s">
        <v>2063</v>
      </c>
      <c r="HA35" s="340">
        <v>32.6</v>
      </c>
      <c r="HB35" s="325" t="s">
        <v>2075</v>
      </c>
      <c r="HC35" s="335">
        <v>233.71</v>
      </c>
      <c r="HF35" s="554">
        <v>40</v>
      </c>
      <c r="HG35" s="530" t="s">
        <v>2106</v>
      </c>
      <c r="HH35" s="340" t="s">
        <v>506</v>
      </c>
      <c r="HL35" s="500" t="s">
        <v>2115</v>
      </c>
      <c r="HM35" s="486">
        <v>24.7</v>
      </c>
      <c r="HQ35" s="308"/>
      <c r="HR35" s="540">
        <v>40</v>
      </c>
      <c r="HS35" s="530" t="s">
        <v>2081</v>
      </c>
      <c r="HT35" s="500"/>
      <c r="HU35" s="332"/>
      <c r="HV35" s="530" t="s">
        <v>2218</v>
      </c>
      <c r="HW35" s="534">
        <v>220</v>
      </c>
      <c r="HX35" s="536" t="s">
        <v>1406</v>
      </c>
      <c r="HY35" s="537">
        <f>HU24+HW35-IA28</f>
        <v>320</v>
      </c>
      <c r="HZ35" s="285" t="s">
        <v>1633</v>
      </c>
      <c r="IA35" s="318">
        <v>2000</v>
      </c>
      <c r="ID35" s="297" t="s">
        <v>2295</v>
      </c>
      <c r="IE35" s="340">
        <v>47.96</v>
      </c>
      <c r="IF35" s="340" t="s">
        <v>93</v>
      </c>
      <c r="IH35" s="499"/>
      <c r="II35" s="327"/>
      <c r="IJ35" s="297" t="s">
        <v>2371</v>
      </c>
      <c r="IK35" s="340">
        <v>56.9</v>
      </c>
      <c r="IL35" s="340" t="s">
        <v>1668</v>
      </c>
      <c r="IN35" s="310" t="s">
        <v>1387</v>
      </c>
      <c r="IO35" s="259">
        <v>0</v>
      </c>
      <c r="IP35" s="535">
        <v>44.08</v>
      </c>
      <c r="IQ35" s="274"/>
      <c r="IR35" s="340" t="s">
        <v>1668</v>
      </c>
      <c r="IU35" s="555"/>
      <c r="IV35" s="325" t="s">
        <v>2474</v>
      </c>
      <c r="IW35" s="335">
        <v>23.08</v>
      </c>
      <c r="IZ35" s="297" t="s">
        <v>2655</v>
      </c>
      <c r="JA35" s="259">
        <f>SUM(JC28:JC34)</f>
        <v>337.85099999999994</v>
      </c>
      <c r="JB35" s="340" t="s">
        <v>2898</v>
      </c>
      <c r="JC35" s="261">
        <v>16.87</v>
      </c>
      <c r="JH35" s="536" t="s">
        <v>1406</v>
      </c>
      <c r="JI35" s="537">
        <f>JE21+JG37-JK22</f>
        <v>100</v>
      </c>
      <c r="JL35" s="530" t="s">
        <v>2654</v>
      </c>
      <c r="JM35" s="534">
        <f>50+400+200+100</f>
        <v>750</v>
      </c>
      <c r="JN35" s="540">
        <v>9</v>
      </c>
      <c r="JO35" s="545" t="s">
        <v>2616</v>
      </c>
      <c r="JP35" s="340" t="s">
        <v>506</v>
      </c>
      <c r="JT35" s="540">
        <v>10</v>
      </c>
      <c r="JU35" s="545" t="s">
        <v>2680</v>
      </c>
      <c r="JZ35" s="297" t="s">
        <v>2771</v>
      </c>
      <c r="KA35" s="335">
        <v>10</v>
      </c>
      <c r="KD35" s="297" t="s">
        <v>2820</v>
      </c>
      <c r="KE35" s="548">
        <f>SUM(KG22:KG28)</f>
        <v>339.56</v>
      </c>
      <c r="KF35" s="540">
        <v>30</v>
      </c>
      <c r="KG35" s="545" t="s">
        <v>2818</v>
      </c>
      <c r="KH35" s="325" t="s">
        <v>2355</v>
      </c>
      <c r="KJ35" s="457" t="s">
        <v>2623</v>
      </c>
      <c r="KK35" s="457"/>
      <c r="KL35" s="340" t="s">
        <v>2903</v>
      </c>
      <c r="KM35" s="261">
        <v>400</v>
      </c>
      <c r="KN35" s="325" t="s">
        <v>2938</v>
      </c>
      <c r="KO35" s="202">
        <v>57.6</v>
      </c>
      <c r="KP35" s="457" t="s">
        <v>2623</v>
      </c>
      <c r="KQ35" s="457"/>
      <c r="KR35" s="297" t="s">
        <v>3263</v>
      </c>
      <c r="KS35" s="335">
        <v>40.4</v>
      </c>
      <c r="KT35" s="325" t="s">
        <v>2972</v>
      </c>
      <c r="KV35" s="605"/>
      <c r="KW35" s="605"/>
      <c r="KX35" s="297" t="s">
        <v>3066</v>
      </c>
      <c r="KY35" s="202">
        <f>12.5+36</f>
        <v>48.5</v>
      </c>
      <c r="KZ35" s="325" t="s">
        <v>3044</v>
      </c>
      <c r="LA35" s="285"/>
      <c r="LB35" s="615" t="s">
        <v>2623</v>
      </c>
      <c r="LC35" s="615"/>
      <c r="LD35" s="297" t="s">
        <v>3120</v>
      </c>
      <c r="LE35" s="202">
        <v>36.9</v>
      </c>
      <c r="LF35" s="616" t="s">
        <v>506</v>
      </c>
      <c r="LH35" s="256" t="s">
        <v>2943</v>
      </c>
      <c r="LI35" s="331">
        <f>SUM(LK17:LK19)</f>
        <v>685.72</v>
      </c>
      <c r="LJ35" s="297" t="s">
        <v>3174</v>
      </c>
      <c r="LK35" s="335">
        <v>172.3</v>
      </c>
      <c r="LL35" s="652" t="s">
        <v>3167</v>
      </c>
      <c r="LM35" s="202">
        <v>21.1</v>
      </c>
      <c r="LN35" s="256" t="s">
        <v>3256</v>
      </c>
      <c r="LO35" s="395">
        <f>SUM(LQ18:LQ19)</f>
        <v>168.17</v>
      </c>
      <c r="LP35" s="297" t="s">
        <v>3252</v>
      </c>
      <c r="LQ35" s="335">
        <v>38.9</v>
      </c>
      <c r="LT35" s="309" t="s">
        <v>3325</v>
      </c>
      <c r="LU35" s="692"/>
      <c r="LV35" s="536"/>
      <c r="LW35" s="537">
        <f>LS24+LU35-LY24</f>
        <v>0</v>
      </c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1182</v>
      </c>
      <c r="BF36" s="340">
        <f>108.3+39.8</f>
        <v>148.1</v>
      </c>
      <c r="BK36" s="217" t="s">
        <v>1164</v>
      </c>
      <c r="BL36" s="217">
        <v>400</v>
      </c>
      <c r="BQ36" s="217" t="s">
        <v>1242</v>
      </c>
      <c r="BR36" s="217">
        <v>300</v>
      </c>
      <c r="BW36" s="217" t="s">
        <v>1259</v>
      </c>
      <c r="BX36" s="217">
        <v>32.299999999999997</v>
      </c>
      <c r="CC36" s="217" t="s">
        <v>1266</v>
      </c>
      <c r="CD36" s="217">
        <v>535</v>
      </c>
      <c r="CI36" s="217" t="s">
        <v>1304</v>
      </c>
      <c r="CJ36" s="217">
        <v>39</v>
      </c>
      <c r="CO36" s="217" t="s">
        <v>1317</v>
      </c>
      <c r="CP36" s="217">
        <v>28.85</v>
      </c>
      <c r="CU36" s="217" t="s">
        <v>1344</v>
      </c>
      <c r="CV36" s="217">
        <v>33</v>
      </c>
      <c r="DA36" s="216"/>
      <c r="DB36" s="216"/>
      <c r="DC36" s="325" t="s">
        <v>1034</v>
      </c>
      <c r="DE36" s="204" t="s">
        <v>1471</v>
      </c>
      <c r="DF36" s="217">
        <v>348.15</v>
      </c>
      <c r="DG36" s="269" t="s">
        <v>1399</v>
      </c>
      <c r="DH36" s="261">
        <v>72.33</v>
      </c>
      <c r="DI36" s="218" t="s">
        <v>1480</v>
      </c>
      <c r="DJ36" s="377">
        <v>10000</v>
      </c>
      <c r="DM36" s="458" t="s">
        <v>1404</v>
      </c>
      <c r="DN36" s="275">
        <f>DJ16+DM38-DP13</f>
        <v>169.99999999999997</v>
      </c>
      <c r="DO36" s="197" t="s">
        <v>992</v>
      </c>
      <c r="DP36" s="261"/>
      <c r="DS36" s="785" t="s">
        <v>1531</v>
      </c>
      <c r="DT36" s="786"/>
      <c r="DU36" s="197" t="s">
        <v>1536</v>
      </c>
      <c r="DV36" s="543"/>
      <c r="DY36" s="340" t="s">
        <v>1772</v>
      </c>
      <c r="DZ36" s="340">
        <v>100</v>
      </c>
      <c r="EA36" s="340" t="s">
        <v>1146</v>
      </c>
      <c r="EE36" s="340" t="s">
        <v>1566</v>
      </c>
      <c r="EF36" s="340">
        <v>700</v>
      </c>
      <c r="EL36" s="218" t="s">
        <v>3032</v>
      </c>
      <c r="EM36" s="218"/>
      <c r="ER36" s="285" t="s">
        <v>1706</v>
      </c>
      <c r="ES36" s="285">
        <v>110</v>
      </c>
      <c r="ET36" s="340" t="s">
        <v>1536</v>
      </c>
      <c r="EX36" s="285" t="s">
        <v>1713</v>
      </c>
      <c r="EY36" s="285">
        <v>22.4</v>
      </c>
      <c r="EZ36" s="340" t="s">
        <v>506</v>
      </c>
      <c r="FD36" s="204" t="s">
        <v>1757</v>
      </c>
      <c r="FE36" s="285">
        <v>19.36</v>
      </c>
      <c r="FF36" s="325" t="s">
        <v>1766</v>
      </c>
      <c r="FG36" s="261">
        <v>87</v>
      </c>
      <c r="FJ36" s="285" t="s">
        <v>1785</v>
      </c>
      <c r="FK36" s="285">
        <f>58.1+1.5</f>
        <v>59.6</v>
      </c>
      <c r="FL36" s="285" t="s">
        <v>1690</v>
      </c>
      <c r="FM36" s="318">
        <v>0</v>
      </c>
      <c r="FP36" s="297" t="s">
        <v>1849</v>
      </c>
      <c r="FQ36" s="340">
        <v>80</v>
      </c>
      <c r="FR36" s="340" t="s">
        <v>506</v>
      </c>
      <c r="FV36" s="204" t="s">
        <v>1865</v>
      </c>
      <c r="FW36" s="340">
        <v>9.9</v>
      </c>
      <c r="FX36" s="340" t="s">
        <v>1668</v>
      </c>
      <c r="GB36" s="530" t="s">
        <v>1822</v>
      </c>
      <c r="GC36" s="309"/>
      <c r="GH36" s="530" t="s">
        <v>1979</v>
      </c>
      <c r="GI36" s="309"/>
      <c r="GJ36" s="325" t="s">
        <v>1968</v>
      </c>
      <c r="GK36" s="204">
        <v>63.6</v>
      </c>
      <c r="GN36" s="297" t="s">
        <v>1985</v>
      </c>
      <c r="GO36" s="340">
        <v>63.06</v>
      </c>
      <c r="GP36" s="340" t="s">
        <v>2228</v>
      </c>
      <c r="GT36" s="556">
        <v>71.8</v>
      </c>
      <c r="GU36" s="530" t="s">
        <v>2050</v>
      </c>
      <c r="GV36" s="340" t="s">
        <v>1146</v>
      </c>
      <c r="GZ36" s="297" t="s">
        <v>2074</v>
      </c>
      <c r="HA36" s="340">
        <v>40.479999999999997</v>
      </c>
      <c r="HB36" s="325" t="s">
        <v>2061</v>
      </c>
      <c r="HC36" s="335">
        <v>71</v>
      </c>
      <c r="HF36" s="554">
        <v>50</v>
      </c>
      <c r="HG36" s="530" t="s">
        <v>1822</v>
      </c>
      <c r="HH36" s="340" t="s">
        <v>1668</v>
      </c>
      <c r="HL36" s="500" t="s">
        <v>2147</v>
      </c>
      <c r="HM36" s="557">
        <v>20760</v>
      </c>
      <c r="HP36" s="530" t="s">
        <v>2182</v>
      </c>
      <c r="HQ36" s="534">
        <v>100</v>
      </c>
      <c r="HR36" s="540">
        <v>20</v>
      </c>
      <c r="HS36" s="530" t="s">
        <v>2171</v>
      </c>
      <c r="HT36" s="507"/>
      <c r="HU36" s="332"/>
      <c r="HX36" s="540">
        <v>140</v>
      </c>
      <c r="HY36" s="530" t="s">
        <v>2242</v>
      </c>
      <c r="HZ36" s="285" t="s">
        <v>1634</v>
      </c>
      <c r="IA36" s="318">
        <v>4000</v>
      </c>
      <c r="IC36" s="484"/>
      <c r="ID36" s="340" t="s">
        <v>2156</v>
      </c>
      <c r="IE36" s="204">
        <v>52</v>
      </c>
      <c r="IH36" s="499"/>
      <c r="II36" s="327"/>
      <c r="IJ36" s="297" t="s">
        <v>2370</v>
      </c>
      <c r="IK36" s="340">
        <v>47.08</v>
      </c>
      <c r="IL36" s="340" t="s">
        <v>1034</v>
      </c>
      <c r="IN36" s="300" t="s">
        <v>2124</v>
      </c>
      <c r="IO36" s="259">
        <f>SUM(IQ10:IQ11)</f>
        <v>1105.4099999999999</v>
      </c>
      <c r="IP36" s="536" t="s">
        <v>1406</v>
      </c>
      <c r="IQ36" s="462">
        <f>IM23+IO40-IS19</f>
        <v>680</v>
      </c>
      <c r="IR36" s="340" t="s">
        <v>1034</v>
      </c>
      <c r="IV36" s="325" t="s">
        <v>2476</v>
      </c>
      <c r="IW36" s="335">
        <v>6.37</v>
      </c>
      <c r="JB36" s="217" t="s">
        <v>2155</v>
      </c>
      <c r="JC36" s="274">
        <f>204+76+114+103</f>
        <v>497</v>
      </c>
      <c r="JH36" s="540">
        <v>8</v>
      </c>
      <c r="JI36" s="545" t="s">
        <v>2571</v>
      </c>
      <c r="JN36" s="540">
        <v>10</v>
      </c>
      <c r="JO36" s="545" t="s">
        <v>2627</v>
      </c>
      <c r="JP36" s="340" t="s">
        <v>93</v>
      </c>
      <c r="JS36" s="484"/>
      <c r="JT36" s="340" t="s">
        <v>2703</v>
      </c>
      <c r="JU36" s="335">
        <v>139</v>
      </c>
      <c r="JZ36" s="297" t="s">
        <v>2747</v>
      </c>
      <c r="KA36" s="202">
        <f>45.73</f>
        <v>45.73</v>
      </c>
      <c r="KD36" s="309" t="s">
        <v>2833</v>
      </c>
      <c r="KE36" s="558">
        <v>100</v>
      </c>
      <c r="KF36" s="540">
        <v>6</v>
      </c>
      <c r="KG36" s="545" t="s">
        <v>2816</v>
      </c>
      <c r="KH36" s="325" t="s">
        <v>2851</v>
      </c>
      <c r="KI36" s="259">
        <v>194</v>
      </c>
      <c r="KJ36" s="442" t="s">
        <v>1922</v>
      </c>
      <c r="KK36" s="260">
        <f>SUM(KM6:KM6)</f>
        <v>1900.1</v>
      </c>
      <c r="KL36" s="217" t="s">
        <v>3168</v>
      </c>
      <c r="KM36" s="274">
        <f>166+85+79+40</f>
        <v>370</v>
      </c>
      <c r="KN36" s="325" t="s">
        <v>2904</v>
      </c>
      <c r="KO36" s="202"/>
      <c r="KP36" s="442" t="s">
        <v>1922</v>
      </c>
      <c r="KQ36" s="260">
        <f>SUM(KS6:KS7)</f>
        <v>3900.1099999999997</v>
      </c>
      <c r="KR36" s="297" t="s">
        <v>3021</v>
      </c>
      <c r="KS36" s="335">
        <f>30.8+1.8+1</f>
        <v>33.6</v>
      </c>
      <c r="KT36" s="325" t="s">
        <v>2971</v>
      </c>
      <c r="KU36" s="285"/>
      <c r="KV36" s="606"/>
      <c r="KW36" s="605"/>
      <c r="KX36" s="297" t="s">
        <v>3055</v>
      </c>
      <c r="KY36" s="202">
        <f>20+22+11+15+9+9</f>
        <v>86</v>
      </c>
      <c r="KZ36" s="325" t="s">
        <v>2639</v>
      </c>
      <c r="LB36" s="442" t="s">
        <v>1922</v>
      </c>
      <c r="LC36" s="260">
        <f>SUM(LE6:LE8)</f>
        <v>9900.01</v>
      </c>
      <c r="LD36" s="297" t="s">
        <v>3138</v>
      </c>
      <c r="LE36" s="335">
        <v>12</v>
      </c>
      <c r="LF36" s="616" t="s">
        <v>2981</v>
      </c>
      <c r="LH36" s="445" t="s">
        <v>2798</v>
      </c>
      <c r="LI36" s="259">
        <f>SUM(LK21:LK27)</f>
        <v>648.76</v>
      </c>
      <c r="LJ36" s="297" t="s">
        <v>3191</v>
      </c>
      <c r="LK36" s="335">
        <v>37.4</v>
      </c>
      <c r="LL36" s="649" t="s">
        <v>2972</v>
      </c>
      <c r="LN36" s="445" t="s">
        <v>2798</v>
      </c>
      <c r="LO36" s="202">
        <f>SUM(LQ20:LQ27)</f>
        <v>953.54000000000008</v>
      </c>
      <c r="LP36" s="297" t="s">
        <v>3266</v>
      </c>
      <c r="LQ36" s="335">
        <v>67.38</v>
      </c>
      <c r="LV36" s="540"/>
      <c r="LW36" s="537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1193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1272</v>
      </c>
      <c r="CD37" s="217">
        <v>180</v>
      </c>
      <c r="CI37" s="217" t="s">
        <v>1305</v>
      </c>
      <c r="CJ37" s="217">
        <v>58</v>
      </c>
      <c r="CO37" s="217" t="s">
        <v>1326</v>
      </c>
      <c r="CP37" s="217">
        <v>39</v>
      </c>
      <c r="CU37" s="217" t="s">
        <v>1341</v>
      </c>
      <c r="CV37" s="217">
        <v>10.000999999999999</v>
      </c>
      <c r="DA37" s="217" t="s">
        <v>1393</v>
      </c>
      <c r="DB37" s="204">
        <v>192.6</v>
      </c>
      <c r="DG37" s="269" t="s">
        <v>1400</v>
      </c>
      <c r="DH37" s="261">
        <v>127.12</v>
      </c>
      <c r="DI37" s="478"/>
      <c r="DJ37" s="539"/>
      <c r="DM37" s="456" t="s">
        <v>1517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1605</v>
      </c>
      <c r="DZ37" s="340">
        <v>49.8</v>
      </c>
      <c r="EA37" s="340" t="s">
        <v>1034</v>
      </c>
      <c r="EE37" s="340" t="s">
        <v>1638</v>
      </c>
      <c r="EL37" s="218" t="s">
        <v>1660</v>
      </c>
      <c r="EM37" s="218"/>
      <c r="ER37" s="285" t="s">
        <v>1266</v>
      </c>
      <c r="ES37" s="285">
        <v>749</v>
      </c>
      <c r="ET37" s="340" t="s">
        <v>93</v>
      </c>
      <c r="EX37" s="204" t="s">
        <v>1726</v>
      </c>
      <c r="EY37" s="340">
        <v>7</v>
      </c>
      <c r="EZ37" s="340" t="s">
        <v>1668</v>
      </c>
      <c r="FD37" s="204" t="s">
        <v>1757</v>
      </c>
      <c r="FE37" s="285">
        <v>14.08</v>
      </c>
      <c r="FF37" s="325" t="s">
        <v>1767</v>
      </c>
      <c r="FG37" s="261">
        <v>211</v>
      </c>
      <c r="FJ37" s="552" t="s">
        <v>1795</v>
      </c>
      <c r="FK37" s="285">
        <v>26.29</v>
      </c>
      <c r="FL37" s="483" t="s">
        <v>1627</v>
      </c>
      <c r="FM37" s="332"/>
      <c r="FP37" s="536" t="s">
        <v>1741</v>
      </c>
      <c r="FQ37" s="536"/>
      <c r="FR37" s="340" t="s">
        <v>1668</v>
      </c>
      <c r="FV37" s="552" t="s">
        <v>1867</v>
      </c>
      <c r="FW37" s="204">
        <v>127.1</v>
      </c>
      <c r="FX37" s="340" t="s">
        <v>93</v>
      </c>
      <c r="GB37" s="530" t="s">
        <v>1914</v>
      </c>
      <c r="GC37" s="309"/>
      <c r="GH37" s="530" t="s">
        <v>1739</v>
      </c>
      <c r="GI37" s="309"/>
      <c r="GJ37" s="325"/>
      <c r="GK37" s="332"/>
      <c r="GN37" s="297" t="s">
        <v>1528</v>
      </c>
      <c r="GO37" s="340">
        <v>67.8</v>
      </c>
      <c r="GP37" s="325" t="s">
        <v>2226</v>
      </c>
      <c r="GQ37" s="332"/>
      <c r="GT37" s="554">
        <v>80</v>
      </c>
      <c r="GU37" s="530" t="s">
        <v>1822</v>
      </c>
      <c r="GV37" s="340" t="s">
        <v>1034</v>
      </c>
      <c r="GZ37" s="297" t="s">
        <v>1399</v>
      </c>
      <c r="HA37" s="340">
        <v>49.98</v>
      </c>
      <c r="HF37" s="500" t="s">
        <v>2098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2172</v>
      </c>
      <c r="HT37" s="507"/>
      <c r="HU37" s="332"/>
      <c r="HX37" s="540">
        <v>40</v>
      </c>
      <c r="HY37" s="530" t="s">
        <v>1822</v>
      </c>
      <c r="HZ37" s="325" t="s">
        <v>2200</v>
      </c>
      <c r="IA37" s="332"/>
      <c r="IC37" s="484"/>
      <c r="ID37" s="217" t="s">
        <v>2155</v>
      </c>
      <c r="IE37" s="217">
        <v>453</v>
      </c>
      <c r="IH37" s="499"/>
      <c r="II37" s="327"/>
      <c r="IJ37" s="340" t="s">
        <v>2156</v>
      </c>
      <c r="IK37" s="204">
        <f>35+25+17.47+26.01</f>
        <v>103.48</v>
      </c>
      <c r="IN37" s="299" t="s">
        <v>2125</v>
      </c>
      <c r="IO37" s="259">
        <f>SUM(IQ13:IQ20)</f>
        <v>1316.3133333333333</v>
      </c>
      <c r="IP37" s="540">
        <v>399</v>
      </c>
      <c r="IQ37" s="545" t="s">
        <v>2407</v>
      </c>
      <c r="IV37" s="325" t="s">
        <v>2484</v>
      </c>
      <c r="IW37" s="335">
        <v>104.35</v>
      </c>
      <c r="JB37" s="535">
        <v>23.85</v>
      </c>
      <c r="JC37" s="274"/>
      <c r="JF37" s="530" t="s">
        <v>2589</v>
      </c>
      <c r="JG37" s="534">
        <v>200</v>
      </c>
      <c r="JH37" s="540">
        <v>8</v>
      </c>
      <c r="JI37" s="545" t="s">
        <v>2574</v>
      </c>
      <c r="JN37" s="540">
        <v>192.7</v>
      </c>
      <c r="JO37" s="545" t="s">
        <v>2653</v>
      </c>
      <c r="JP37" s="340" t="s">
        <v>1034</v>
      </c>
      <c r="JS37" s="484"/>
      <c r="JT37" s="412" t="s">
        <v>2714</v>
      </c>
      <c r="JU37" s="413">
        <v>5.35</v>
      </c>
      <c r="JZ37" s="297" t="s">
        <v>2753</v>
      </c>
      <c r="KA37" s="335">
        <v>33.03</v>
      </c>
      <c r="KF37" s="540">
        <v>25.9</v>
      </c>
      <c r="KG37" s="545" t="s">
        <v>2843</v>
      </c>
      <c r="KJ37" s="312" t="s">
        <v>2947</v>
      </c>
      <c r="KK37" s="260">
        <f>SUM(KM14:KM17)</f>
        <v>53578.656000000003</v>
      </c>
      <c r="KL37" s="535">
        <v>40.25</v>
      </c>
      <c r="KM37" s="274"/>
      <c r="KN37" s="325" t="s">
        <v>2355</v>
      </c>
      <c r="KO37" s="202"/>
      <c r="KP37" s="312" t="s">
        <v>2947</v>
      </c>
      <c r="KQ37" s="260">
        <f>SUM(KS17:KS17)</f>
        <v>1223.29</v>
      </c>
      <c r="KR37" s="297" t="s">
        <v>3038</v>
      </c>
      <c r="KS37" s="335">
        <f>7.5+7.5</f>
        <v>15</v>
      </c>
      <c r="KT37" s="325" t="s">
        <v>3036</v>
      </c>
      <c r="KX37" s="297" t="s">
        <v>3074</v>
      </c>
      <c r="KY37" s="202">
        <v>707.68</v>
      </c>
      <c r="KZ37" s="340" t="s">
        <v>506</v>
      </c>
      <c r="LB37" s="312" t="s">
        <v>2947</v>
      </c>
      <c r="LC37" s="260">
        <f>SUM(LE20:LE21)</f>
        <v>11479</v>
      </c>
      <c r="LD37" s="297" t="s">
        <v>3124</v>
      </c>
      <c r="LE37" s="335">
        <f>34.12+23.77</f>
        <v>57.89</v>
      </c>
      <c r="LF37" s="616" t="s">
        <v>2980</v>
      </c>
      <c r="LH37" s="297" t="s">
        <v>2123</v>
      </c>
      <c r="LI37" s="259">
        <f>SUM(LK28:LK37)</f>
        <v>481.59999999999997</v>
      </c>
      <c r="LJ37" s="297" t="s">
        <v>3189</v>
      </c>
      <c r="LK37" s="335">
        <v>6.5</v>
      </c>
      <c r="LL37" s="649" t="s">
        <v>3117</v>
      </c>
      <c r="LN37" s="297" t="s">
        <v>2123</v>
      </c>
      <c r="LO37" s="202">
        <f>SUM(LQ28:LQ36)</f>
        <v>763.64</v>
      </c>
      <c r="LP37" s="217" t="s">
        <v>3168</v>
      </c>
      <c r="LQ37" s="274">
        <f>356+144+134+20</f>
        <v>654</v>
      </c>
      <c r="LR37" s="679" t="s">
        <v>2972</v>
      </c>
      <c r="LU37" s="286"/>
      <c r="LV37" s="540"/>
      <c r="LW37" s="553"/>
      <c r="LX37" s="731" t="s">
        <v>2972</v>
      </c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1274</v>
      </c>
      <c r="CD38" s="217">
        <f>6.8+82.4</f>
        <v>89.2</v>
      </c>
      <c r="CI38" s="217" t="s">
        <v>1277</v>
      </c>
      <c r="CJ38" s="217">
        <v>25</v>
      </c>
      <c r="CO38" s="217" t="s">
        <v>1316</v>
      </c>
      <c r="CP38" s="217">
        <v>74.8</v>
      </c>
      <c r="CU38" s="217" t="s">
        <v>1342</v>
      </c>
      <c r="CV38" s="217">
        <f>50+10</f>
        <v>60</v>
      </c>
      <c r="CW38" s="265"/>
      <c r="DA38" s="217" t="s">
        <v>1391</v>
      </c>
      <c r="DB38" s="217">
        <v>40.6</v>
      </c>
      <c r="DG38" s="269" t="s">
        <v>1402</v>
      </c>
      <c r="DH38" s="261">
        <v>28</v>
      </c>
      <c r="DI38" s="325" t="s">
        <v>1263</v>
      </c>
      <c r="DJ38" s="318">
        <v>-20000</v>
      </c>
      <c r="DM38" s="281">
        <v>200</v>
      </c>
      <c r="DN38" s="276"/>
      <c r="DO38" s="340" t="s">
        <v>1146</v>
      </c>
      <c r="DS38" s="279" t="s">
        <v>1595</v>
      </c>
      <c r="DT38" s="280"/>
      <c r="DU38" s="340" t="s">
        <v>1146</v>
      </c>
      <c r="DY38" s="340" t="s">
        <v>1604</v>
      </c>
      <c r="DZ38" s="340">
        <v>34</v>
      </c>
      <c r="EE38" s="340" t="s">
        <v>1422</v>
      </c>
      <c r="EF38" s="340">
        <v>40</v>
      </c>
      <c r="EH38" s="265"/>
      <c r="EL38" s="218" t="s">
        <v>1667</v>
      </c>
      <c r="EM38" s="218"/>
      <c r="ER38" s="204" t="s">
        <v>1707</v>
      </c>
      <c r="ES38" s="204">
        <f>710+22</f>
        <v>732</v>
      </c>
      <c r="ET38" s="340" t="s">
        <v>1146</v>
      </c>
      <c r="EX38" s="204" t="s">
        <v>1717</v>
      </c>
      <c r="EY38" s="285">
        <v>4.83</v>
      </c>
      <c r="EZ38" s="340" t="s">
        <v>1536</v>
      </c>
      <c r="FD38" s="204" t="s">
        <v>1758</v>
      </c>
      <c r="FE38" s="285">
        <v>78.69</v>
      </c>
      <c r="FF38" s="325" t="s">
        <v>1768</v>
      </c>
      <c r="FG38" s="261">
        <v>136</v>
      </c>
      <c r="FJ38" s="552" t="s">
        <v>1613</v>
      </c>
      <c r="FK38" s="204">
        <v>87.09</v>
      </c>
      <c r="FL38" s="325" t="s">
        <v>1753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1880</v>
      </c>
      <c r="FW38" s="204">
        <v>8.5299999999999994</v>
      </c>
      <c r="FX38" s="340" t="s">
        <v>1146</v>
      </c>
      <c r="GB38" s="530" t="s">
        <v>1917</v>
      </c>
      <c r="GC38" s="309"/>
      <c r="GH38" s="552" t="s">
        <v>1972</v>
      </c>
      <c r="GI38" s="204">
        <v>100</v>
      </c>
      <c r="GJ38" s="325"/>
      <c r="GK38" s="332"/>
      <c r="GN38" s="297" t="s">
        <v>1986</v>
      </c>
      <c r="GO38" s="340">
        <v>12.84</v>
      </c>
      <c r="GP38" s="325" t="s">
        <v>2141</v>
      </c>
      <c r="GQ38" s="340">
        <f>GU16</f>
        <v>84250</v>
      </c>
      <c r="GT38" s="554">
        <v>5</v>
      </c>
      <c r="GU38" s="530" t="s">
        <v>2046</v>
      </c>
      <c r="GZ38" s="297" t="s">
        <v>2072</v>
      </c>
      <c r="HA38" s="340">
        <f>36.3+3.2+61.6</f>
        <v>101.1</v>
      </c>
      <c r="HB38" s="340" t="s">
        <v>506</v>
      </c>
      <c r="HF38" s="500" t="s">
        <v>2090</v>
      </c>
      <c r="HG38" s="467">
        <v>17367.45</v>
      </c>
      <c r="HH38" s="340" t="s">
        <v>1146</v>
      </c>
      <c r="HR38" s="500" t="s">
        <v>2179</v>
      </c>
      <c r="HS38" s="557">
        <v>9.9</v>
      </c>
      <c r="HT38" s="340" t="s">
        <v>506</v>
      </c>
      <c r="HX38" s="540">
        <v>40</v>
      </c>
      <c r="HY38" s="530" t="s">
        <v>2241</v>
      </c>
      <c r="HZ38" s="507" t="s">
        <v>2201</v>
      </c>
      <c r="IA38" s="541">
        <v>21.35</v>
      </c>
      <c r="IC38" s="555"/>
      <c r="ID38" s="535">
        <v>28.33</v>
      </c>
      <c r="IE38" s="217"/>
      <c r="IH38" s="506"/>
      <c r="IJ38" s="217" t="s">
        <v>2155</v>
      </c>
      <c r="IK38" s="217">
        <v>810</v>
      </c>
      <c r="IN38" s="297" t="s">
        <v>2123</v>
      </c>
      <c r="IO38" s="259">
        <f>SUM(IQ21:IQ32)</f>
        <v>464.31</v>
      </c>
      <c r="IP38" s="540">
        <v>35</v>
      </c>
      <c r="IQ38" s="545" t="s">
        <v>2399</v>
      </c>
      <c r="IV38" s="325" t="s">
        <v>2484</v>
      </c>
      <c r="IW38" s="335">
        <v>51.81</v>
      </c>
      <c r="IZ38" s="530" t="s">
        <v>2528</v>
      </c>
      <c r="JA38" s="534">
        <v>200</v>
      </c>
      <c r="JB38" s="536" t="s">
        <v>1406</v>
      </c>
      <c r="JC38" s="537">
        <f>IY20+JA38-JE21</f>
        <v>260</v>
      </c>
      <c r="JH38" s="540">
        <v>70</v>
      </c>
      <c r="JI38" s="545" t="s">
        <v>1822</v>
      </c>
      <c r="JN38" s="540">
        <v>18</v>
      </c>
      <c r="JO38" s="545" t="s">
        <v>2620</v>
      </c>
      <c r="JT38" s="406" t="s">
        <v>2673</v>
      </c>
      <c r="JU38" s="405">
        <v>2.2000000000000002</v>
      </c>
      <c r="JZ38" s="297" t="s">
        <v>2722</v>
      </c>
      <c r="KA38" s="202">
        <f>48.9</f>
        <v>48.9</v>
      </c>
      <c r="KF38" s="559" t="s">
        <v>2835</v>
      </c>
      <c r="KG38" s="488">
        <v>70</v>
      </c>
      <c r="KJ38" s="443" t="s">
        <v>2935</v>
      </c>
      <c r="KK38" s="259">
        <v>0</v>
      </c>
      <c r="KL38" s="536" t="s">
        <v>1406</v>
      </c>
      <c r="KM38" s="537">
        <f>KI27+KK45-KO28</f>
        <v>270</v>
      </c>
      <c r="KN38" s="325"/>
      <c r="KO38" s="202"/>
      <c r="KP38" s="301" t="s">
        <v>2942</v>
      </c>
      <c r="KQ38" s="259">
        <f>SUM(KS8:KS13)</f>
        <v>1643.11</v>
      </c>
      <c r="KR38" s="340" t="s">
        <v>2903</v>
      </c>
      <c r="KS38" s="261">
        <v>40</v>
      </c>
      <c r="KT38" s="325" t="s">
        <v>2639</v>
      </c>
      <c r="KW38" s="285"/>
      <c r="KX38" s="297" t="s">
        <v>3241</v>
      </c>
      <c r="KY38" s="202">
        <f>1264.52+12.65</f>
        <v>1277.17</v>
      </c>
      <c r="KZ38" s="340" t="s">
        <v>2981</v>
      </c>
      <c r="LB38" s="443" t="s">
        <v>2935</v>
      </c>
      <c r="LC38" s="259">
        <f>SUM(LE9:LE12)</f>
        <v>3622.06</v>
      </c>
      <c r="LD38" s="297" t="s">
        <v>3125</v>
      </c>
      <c r="LE38" s="335">
        <f>7.5*2+38.7</f>
        <v>53.7</v>
      </c>
      <c r="LF38" s="616" t="s">
        <v>2979</v>
      </c>
      <c r="LH38" s="297" t="s">
        <v>2820</v>
      </c>
      <c r="LI38" s="548">
        <f>SUM(LK30:LK37)</f>
        <v>456.59999999999997</v>
      </c>
      <c r="LJ38" s="217" t="s">
        <v>3168</v>
      </c>
      <c r="LK38" s="274">
        <f>97+232+92</f>
        <v>421</v>
      </c>
      <c r="LL38" s="647" t="s">
        <v>506</v>
      </c>
      <c r="LN38" s="297" t="s">
        <v>2820</v>
      </c>
      <c r="LO38" s="691">
        <f>SUM(LQ31:LQ36)</f>
        <v>275.81000000000006</v>
      </c>
      <c r="LP38" s="535">
        <v>20.13</v>
      </c>
      <c r="LQ38" s="274"/>
      <c r="LR38" s="679" t="s">
        <v>3247</v>
      </c>
      <c r="LU38" s="286"/>
      <c r="LV38" s="540"/>
      <c r="LW38" s="553"/>
      <c r="LX38" s="731" t="s">
        <v>3247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1184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1246</v>
      </c>
      <c r="BX39" s="217">
        <v>100</v>
      </c>
      <c r="CC39" s="217" t="s">
        <v>1279</v>
      </c>
      <c r="CD39" s="217">
        <v>0</v>
      </c>
      <c r="CI39" s="217" t="s">
        <v>1378</v>
      </c>
      <c r="CJ39" s="217">
        <v>102</v>
      </c>
      <c r="CO39" s="217" t="s">
        <v>1315</v>
      </c>
      <c r="CP39" s="217">
        <v>60.08</v>
      </c>
      <c r="CU39" s="217" t="s">
        <v>1336</v>
      </c>
      <c r="CV39" s="217">
        <v>80</v>
      </c>
      <c r="DA39" s="217" t="s">
        <v>1381</v>
      </c>
      <c r="DB39" s="217">
        <v>106.3</v>
      </c>
      <c r="DC39" s="265"/>
      <c r="DG39" s="269" t="s">
        <v>1425</v>
      </c>
      <c r="DH39" s="261">
        <v>32.200000000000003</v>
      </c>
      <c r="DI39" s="780" t="s">
        <v>1433</v>
      </c>
      <c r="DJ39" s="780"/>
      <c r="DM39" s="216" t="s">
        <v>1398</v>
      </c>
      <c r="DN39" s="276"/>
      <c r="DO39" s="325" t="s">
        <v>1034</v>
      </c>
      <c r="DS39" s="216" t="s">
        <v>1521</v>
      </c>
      <c r="DT39" s="276"/>
      <c r="DU39" s="325" t="s">
        <v>1034</v>
      </c>
      <c r="DY39" s="340" t="s">
        <v>1381</v>
      </c>
      <c r="DZ39" s="340">
        <v>15</v>
      </c>
      <c r="EL39" s="218"/>
      <c r="EM39" s="218"/>
      <c r="EN39" s="265"/>
      <c r="ER39" s="204" t="s">
        <v>1683</v>
      </c>
      <c r="ES39" s="204">
        <v>69</v>
      </c>
      <c r="ET39" s="340" t="s">
        <v>1034</v>
      </c>
      <c r="EX39" s="204" t="s">
        <v>1720</v>
      </c>
      <c r="EY39" s="204">
        <v>37.869999999999997</v>
      </c>
      <c r="EZ39" s="340" t="s">
        <v>93</v>
      </c>
      <c r="FD39" s="204" t="s">
        <v>1774</v>
      </c>
      <c r="FE39" s="340" t="s">
        <v>1775</v>
      </c>
      <c r="FF39" s="204" t="s">
        <v>1759</v>
      </c>
      <c r="FG39" s="204">
        <v>250</v>
      </c>
      <c r="FJ39" s="552" t="s">
        <v>1790</v>
      </c>
      <c r="FK39" s="285">
        <v>11.25</v>
      </c>
      <c r="FL39" s="325" t="s">
        <v>1803</v>
      </c>
      <c r="FM39" s="332">
        <v>101</v>
      </c>
      <c r="FP39" s="309" t="s">
        <v>1823</v>
      </c>
      <c r="FQ39" s="309"/>
      <c r="FR39" s="340" t="s">
        <v>1146</v>
      </c>
      <c r="FV39" s="552" t="s">
        <v>1895</v>
      </c>
      <c r="FW39" s="204">
        <v>184</v>
      </c>
      <c r="FX39" s="340" t="s">
        <v>1034</v>
      </c>
      <c r="GB39" s="530" t="s">
        <v>1927</v>
      </c>
      <c r="GC39" s="309"/>
      <c r="GH39" s="552" t="s">
        <v>1953</v>
      </c>
      <c r="GI39" s="340">
        <v>70</v>
      </c>
      <c r="GJ39" s="340" t="s">
        <v>506</v>
      </c>
      <c r="GN39" s="297" t="s">
        <v>2003</v>
      </c>
      <c r="GO39" s="340">
        <v>26</v>
      </c>
      <c r="GP39" s="325" t="s">
        <v>2142</v>
      </c>
      <c r="GQ39" s="332">
        <v>45000</v>
      </c>
      <c r="GT39" s="554">
        <v>20</v>
      </c>
      <c r="GU39" s="530" t="s">
        <v>2049</v>
      </c>
      <c r="GZ39" s="297" t="s">
        <v>2139</v>
      </c>
      <c r="HA39" s="340">
        <v>84.3</v>
      </c>
      <c r="HB39" s="340" t="s">
        <v>1668</v>
      </c>
      <c r="HF39" s="500" t="s">
        <v>2104</v>
      </c>
      <c r="HG39" s="486">
        <v>88</v>
      </c>
      <c r="HH39" s="340" t="s">
        <v>1034</v>
      </c>
      <c r="HL39" s="500"/>
      <c r="HM39" s="486"/>
      <c r="HR39" s="500" t="s">
        <v>2191</v>
      </c>
      <c r="HS39" s="486">
        <v>10.57</v>
      </c>
      <c r="HT39" s="340" t="s">
        <v>93</v>
      </c>
      <c r="HX39" s="540">
        <v>40</v>
      </c>
      <c r="HY39" s="530" t="s">
        <v>2215</v>
      </c>
      <c r="HZ39" s="325" t="s">
        <v>2217</v>
      </c>
      <c r="IA39" s="332">
        <v>125.91</v>
      </c>
      <c r="ID39" s="536" t="s">
        <v>1406</v>
      </c>
      <c r="IE39" s="537">
        <f>IA28+IC42-IG23</f>
        <v>175</v>
      </c>
      <c r="IH39" s="506"/>
      <c r="IJ39" s="536" t="s">
        <v>1406</v>
      </c>
      <c r="IK39" s="537">
        <f>IG23+II50-IM23</f>
        <v>230</v>
      </c>
      <c r="IN39" s="297" t="s">
        <v>2604</v>
      </c>
      <c r="IO39" s="259">
        <f>SUM(IQ25:IQ32)</f>
        <v>303.81</v>
      </c>
      <c r="IP39" s="540">
        <v>7.9</v>
      </c>
      <c r="IQ39" s="545" t="s">
        <v>2400</v>
      </c>
      <c r="IV39" s="325" t="s">
        <v>2484</v>
      </c>
      <c r="IW39" s="335">
        <v>28.77</v>
      </c>
      <c r="IZ39" s="467"/>
      <c r="JA39" s="560"/>
      <c r="JB39" s="540">
        <v>130</v>
      </c>
      <c r="JC39" s="545" t="s">
        <v>2505</v>
      </c>
      <c r="JH39" s="540">
        <v>10</v>
      </c>
      <c r="JI39" s="545" t="s">
        <v>2586</v>
      </c>
      <c r="JM39" s="484"/>
      <c r="JN39" s="540">
        <v>10</v>
      </c>
      <c r="JO39" s="218" t="s">
        <v>2621</v>
      </c>
      <c r="JS39" s="561" t="s">
        <v>2715</v>
      </c>
      <c r="JT39" s="406" t="s">
        <v>2692</v>
      </c>
      <c r="JU39" s="405">
        <v>89.39</v>
      </c>
      <c r="JX39" s="457" t="s">
        <v>2623</v>
      </c>
      <c r="JY39" s="457"/>
      <c r="JZ39" s="297" t="s">
        <v>2731</v>
      </c>
      <c r="KA39" s="335">
        <v>31</v>
      </c>
      <c r="KF39" s="562" t="s">
        <v>2872</v>
      </c>
      <c r="KG39" s="340">
        <v>324</v>
      </c>
      <c r="KH39" s="340" t="s">
        <v>506</v>
      </c>
      <c r="KJ39" s="301" t="s">
        <v>2942</v>
      </c>
      <c r="KK39" s="259">
        <f>SUM(KM7:KM9)</f>
        <v>1201.5700000000002</v>
      </c>
      <c r="KL39" s="540">
        <v>40</v>
      </c>
      <c r="KM39" s="553" t="s">
        <v>2172</v>
      </c>
      <c r="KN39" s="325"/>
      <c r="KO39" s="202"/>
      <c r="KP39" s="254" t="s">
        <v>2943</v>
      </c>
      <c r="KQ39" s="331">
        <f>SUM(KS14:KS16)</f>
        <v>325.95000000000005</v>
      </c>
      <c r="KR39" s="217" t="s">
        <v>3168</v>
      </c>
      <c r="KS39" s="274">
        <v>547</v>
      </c>
      <c r="KT39" s="340" t="s">
        <v>506</v>
      </c>
      <c r="KX39" s="297" t="s">
        <v>3100</v>
      </c>
      <c r="KY39" s="335">
        <v>31.96</v>
      </c>
      <c r="KZ39" s="340" t="s">
        <v>2980</v>
      </c>
      <c r="LB39" s="301" t="s">
        <v>2942</v>
      </c>
      <c r="LC39" s="259">
        <f>SUM(LE13:LE17)</f>
        <v>825.89</v>
      </c>
      <c r="LD39" s="297" t="s">
        <v>3127</v>
      </c>
      <c r="LE39" s="335">
        <v>32.5</v>
      </c>
      <c r="LF39" s="614" t="s">
        <v>2919</v>
      </c>
      <c r="LJ39" s="535">
        <v>22.09</v>
      </c>
      <c r="LK39" s="274"/>
      <c r="LL39" s="647" t="s">
        <v>2981</v>
      </c>
      <c r="LP39" s="536"/>
      <c r="LQ39" s="537">
        <f>LM23+LO40-LS24</f>
        <v>710</v>
      </c>
      <c r="LR39" s="677" t="s">
        <v>506</v>
      </c>
      <c r="LV39" s="540"/>
      <c r="LW39" s="553"/>
      <c r="LX39" s="728" t="s">
        <v>506</v>
      </c>
      <c r="LZ39" s="202"/>
    </row>
    <row r="40" spans="1:338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1928</v>
      </c>
      <c r="GC40" s="309"/>
      <c r="GH40" s="552" t="s">
        <v>1973</v>
      </c>
      <c r="GI40" s="204">
        <v>190</v>
      </c>
      <c r="GJ40" s="340" t="s">
        <v>1668</v>
      </c>
      <c r="GN40" s="297" t="s">
        <v>1996</v>
      </c>
      <c r="GO40" s="340">
        <v>12</v>
      </c>
      <c r="GP40" s="325" t="s">
        <v>1829</v>
      </c>
      <c r="GQ40" s="332">
        <v>1000</v>
      </c>
      <c r="GT40" s="554">
        <v>6</v>
      </c>
      <c r="GU40" s="530" t="s">
        <v>2047</v>
      </c>
      <c r="GV40" s="340" t="s">
        <v>478</v>
      </c>
      <c r="GZ40" s="297"/>
      <c r="HB40" s="340" t="s">
        <v>93</v>
      </c>
      <c r="HF40" s="500" t="s">
        <v>2091</v>
      </c>
      <c r="HG40" s="486">
        <v>9.2200000000000006</v>
      </c>
      <c r="HR40" s="500"/>
      <c r="HS40" s="486"/>
      <c r="HX40" s="540">
        <v>20</v>
      </c>
      <c r="HY40" s="530" t="s">
        <v>2238</v>
      </c>
      <c r="ID40" s="540">
        <v>70</v>
      </c>
      <c r="IE40" s="530" t="s">
        <v>2172</v>
      </c>
      <c r="IH40" s="777" t="s">
        <v>2129</v>
      </c>
      <c r="II40" s="777"/>
      <c r="IJ40" s="540">
        <v>20</v>
      </c>
      <c r="IK40" s="530" t="s">
        <v>2343</v>
      </c>
      <c r="IN40" s="530" t="s">
        <v>2442</v>
      </c>
      <c r="IO40" s="534">
        <f>100+400+100+100</f>
        <v>700</v>
      </c>
      <c r="IP40" s="540">
        <v>6</v>
      </c>
      <c r="IQ40" s="545" t="s">
        <v>2172</v>
      </c>
      <c r="IV40" s="507"/>
      <c r="IW40" s="335"/>
      <c r="JA40" s="484"/>
      <c r="JB40" s="540">
        <v>30</v>
      </c>
      <c r="JC40" s="545" t="s">
        <v>2531</v>
      </c>
      <c r="JH40" s="540">
        <v>12</v>
      </c>
      <c r="JI40" s="545" t="s">
        <v>2590</v>
      </c>
      <c r="JM40" s="484"/>
      <c r="JN40" s="540">
        <f>86*3+96</f>
        <v>354</v>
      </c>
      <c r="JO40" s="218" t="s">
        <v>2622</v>
      </c>
      <c r="JT40" s="404" t="s">
        <v>2674</v>
      </c>
      <c r="JU40" s="405">
        <f>69.93+136.83</f>
        <v>206.76000000000002</v>
      </c>
      <c r="JX40" s="414" t="s">
        <v>1922</v>
      </c>
      <c r="JY40" s="260">
        <f>SUM(KA6:KA9)</f>
        <v>7797.6799999999994</v>
      </c>
      <c r="JZ40" s="297" t="s">
        <v>2757</v>
      </c>
      <c r="KA40" s="335">
        <v>13.15</v>
      </c>
      <c r="KF40" s="234" t="s">
        <v>2819</v>
      </c>
      <c r="KG40" s="340">
        <v>39.700000000000003</v>
      </c>
      <c r="KH40" s="340" t="s">
        <v>93</v>
      </c>
      <c r="KJ40" s="254" t="s">
        <v>2943</v>
      </c>
      <c r="KK40" s="331">
        <f>SUM(KM10:KM13)</f>
        <v>451.43999999999994</v>
      </c>
      <c r="KL40" s="540">
        <v>6</v>
      </c>
      <c r="KM40" s="545" t="s">
        <v>2911</v>
      </c>
      <c r="KN40" s="340" t="s">
        <v>506</v>
      </c>
      <c r="KP40" s="445" t="s">
        <v>2798</v>
      </c>
      <c r="KQ40" s="259">
        <f>SUM(KS18:KS27)</f>
        <v>1009.24</v>
      </c>
      <c r="KR40" s="535">
        <v>25.54</v>
      </c>
      <c r="KS40" s="274"/>
      <c r="KT40" s="340" t="s">
        <v>2981</v>
      </c>
      <c r="KX40" s="297" t="s">
        <v>3080</v>
      </c>
      <c r="KY40" s="202">
        <f>21.3+22.3</f>
        <v>43.6</v>
      </c>
      <c r="KZ40" s="340" t="s">
        <v>2979</v>
      </c>
      <c r="LB40" s="254" t="s">
        <v>2943</v>
      </c>
      <c r="LC40" s="331">
        <f>SUM(LE18:LE19)</f>
        <v>135.16</v>
      </c>
      <c r="LD40" s="217" t="s">
        <v>3168</v>
      </c>
      <c r="LE40" s="274">
        <f>385+59</f>
        <v>444</v>
      </c>
      <c r="LH40" s="309" t="s">
        <v>3188</v>
      </c>
      <c r="LI40" s="558">
        <v>300</v>
      </c>
      <c r="LJ40" s="536" t="s">
        <v>1406</v>
      </c>
      <c r="LK40" s="537">
        <f>LG23+LI40-LM23</f>
        <v>250</v>
      </c>
      <c r="LL40" s="647" t="s">
        <v>2980</v>
      </c>
      <c r="LN40" s="309" t="s">
        <v>3225</v>
      </c>
      <c r="LO40" s="692">
        <v>600</v>
      </c>
      <c r="LP40" s="540">
        <v>600</v>
      </c>
      <c r="LQ40" s="537" t="s">
        <v>3238</v>
      </c>
      <c r="LR40" s="677" t="s">
        <v>2981</v>
      </c>
      <c r="LV40" s="734"/>
      <c r="LW40" s="488"/>
      <c r="LX40" s="728" t="s">
        <v>2981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1185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1273</v>
      </c>
      <c r="CD41" s="217">
        <v>320</v>
      </c>
      <c r="CI41" s="217" t="s">
        <v>1334</v>
      </c>
      <c r="CJ41" s="217">
        <v>50</v>
      </c>
      <c r="CO41" s="217" t="s">
        <v>1355</v>
      </c>
      <c r="CP41" s="217">
        <v>200</v>
      </c>
      <c r="CU41" s="217" t="s">
        <v>1334</v>
      </c>
      <c r="CV41" s="217">
        <v>100</v>
      </c>
      <c r="DA41" s="217" t="s">
        <v>1376</v>
      </c>
      <c r="DB41" s="217">
        <v>296.14</v>
      </c>
      <c r="DG41" s="269" t="s">
        <v>1472</v>
      </c>
      <c r="DH41" s="261">
        <v>40</v>
      </c>
      <c r="DI41" s="527" t="s">
        <v>1481</v>
      </c>
      <c r="DJ41" s="527">
        <v>200</v>
      </c>
      <c r="DM41" s="216" t="s">
        <v>1518</v>
      </c>
      <c r="DN41" s="276"/>
      <c r="DS41" s="216" t="s">
        <v>1530</v>
      </c>
      <c r="DT41" s="276"/>
      <c r="EL41" s="340" t="s">
        <v>1644</v>
      </c>
      <c r="EM41" s="340">
        <v>59.7</v>
      </c>
      <c r="ER41" s="285" t="s">
        <v>1670</v>
      </c>
      <c r="ES41" s="285">
        <v>18</v>
      </c>
      <c r="EX41" s="204" t="s">
        <v>1743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1852</v>
      </c>
      <c r="FQ41" s="309"/>
      <c r="FR41" s="340" t="s">
        <v>1034</v>
      </c>
      <c r="FV41" s="552" t="s">
        <v>1901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1741</v>
      </c>
      <c r="HA41" s="218"/>
      <c r="HF41" s="500"/>
      <c r="HG41" s="486"/>
      <c r="HR41" s="500" t="s">
        <v>2211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2614</v>
      </c>
      <c r="JO41" s="335">
        <v>7.5</v>
      </c>
      <c r="JT41" s="406" t="s">
        <v>2685</v>
      </c>
      <c r="JU41" s="405">
        <v>18.8</v>
      </c>
      <c r="JX41" s="312" t="s">
        <v>2941</v>
      </c>
      <c r="JY41" s="260">
        <f>SUM(KA20:KA23)</f>
        <v>6114.74</v>
      </c>
      <c r="JZ41" s="297" t="s">
        <v>2754</v>
      </c>
      <c r="KA41" s="335">
        <v>38.200000000000003</v>
      </c>
      <c r="KE41" s="285"/>
      <c r="KF41" s="565" t="s">
        <v>2484</v>
      </c>
      <c r="KG41" s="441">
        <v>110.1</v>
      </c>
      <c r="KJ41" s="445" t="s">
        <v>2798</v>
      </c>
      <c r="KK41" s="259">
        <f>SUM(KM18:KM25)</f>
        <v>714.36400000000003</v>
      </c>
      <c r="KL41" s="540">
        <v>10</v>
      </c>
      <c r="KM41" s="545" t="s">
        <v>2910</v>
      </c>
      <c r="KN41" s="795" t="s">
        <v>2919</v>
      </c>
      <c r="KO41" s="795"/>
      <c r="KP41" s="297" t="s">
        <v>2123</v>
      </c>
      <c r="KQ41" s="259">
        <f>SUM(KS28:KS37)</f>
        <v>732.65</v>
      </c>
      <c r="KR41" s="536" t="s">
        <v>1406</v>
      </c>
      <c r="KS41" s="537">
        <f>KO28+KQ44-KU26</f>
        <v>110</v>
      </c>
      <c r="KT41" s="340" t="s">
        <v>2980</v>
      </c>
      <c r="KX41" s="297" t="s">
        <v>3081</v>
      </c>
      <c r="KY41" s="202">
        <f>42.17+45.14</f>
        <v>87.31</v>
      </c>
      <c r="KZ41" s="285" t="s">
        <v>2919</v>
      </c>
      <c r="LB41" s="445" t="s">
        <v>2798</v>
      </c>
      <c r="LC41" s="259">
        <f>SUM(LE22:LE31)</f>
        <v>1073.1600000000001</v>
      </c>
      <c r="LD41" s="535">
        <v>58.81</v>
      </c>
      <c r="LE41" s="274"/>
      <c r="LF41" s="616" t="s">
        <v>2917</v>
      </c>
      <c r="LJ41" s="540">
        <v>40</v>
      </c>
      <c r="LK41" s="553" t="s">
        <v>3148</v>
      </c>
      <c r="LL41" s="647" t="s">
        <v>2979</v>
      </c>
      <c r="LP41" s="540">
        <v>40</v>
      </c>
      <c r="LQ41" s="553" t="s">
        <v>3243</v>
      </c>
      <c r="LR41" s="677" t="s">
        <v>2980</v>
      </c>
      <c r="LV41" s="734"/>
      <c r="LX41" s="728" t="s">
        <v>2980</v>
      </c>
      <c r="LZ41" s="202"/>
    </row>
    <row r="42" spans="1:338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1915</v>
      </c>
      <c r="GC42" s="340">
        <v>80</v>
      </c>
      <c r="GH42" s="552" t="s">
        <v>1952</v>
      </c>
      <c r="GI42" s="204">
        <v>1100</v>
      </c>
      <c r="GJ42" s="340" t="s">
        <v>93</v>
      </c>
      <c r="GN42" s="297" t="s">
        <v>1994</v>
      </c>
      <c r="GO42" s="340">
        <f>76+25.2</f>
        <v>101.2</v>
      </c>
      <c r="GP42" s="325" t="s">
        <v>2227</v>
      </c>
      <c r="GQ42" s="332"/>
      <c r="GT42" s="554">
        <v>6</v>
      </c>
      <c r="GU42" s="530" t="s">
        <v>2066</v>
      </c>
      <c r="GV42" s="265"/>
      <c r="GZ42" s="536"/>
      <c r="HA42" s="218"/>
      <c r="HB42" s="340" t="s">
        <v>1146</v>
      </c>
      <c r="HF42" s="442" t="s">
        <v>2121</v>
      </c>
      <c r="HG42" s="442">
        <v>440</v>
      </c>
      <c r="HR42" s="500"/>
      <c r="HS42" s="486"/>
      <c r="HX42" s="540">
        <v>45</v>
      </c>
      <c r="HY42" s="530" t="s">
        <v>2237</v>
      </c>
      <c r="IB42" s="530" t="s">
        <v>2268</v>
      </c>
      <c r="IC42" s="534">
        <v>205</v>
      </c>
      <c r="ID42" s="540">
        <v>15</v>
      </c>
      <c r="IE42" s="530" t="s">
        <v>2254</v>
      </c>
      <c r="IH42" s="305" t="s">
        <v>1922</v>
      </c>
      <c r="II42" s="260">
        <f>SUM(IK7:IK9)</f>
        <v>1946.12</v>
      </c>
      <c r="IJ42" s="540">
        <v>40</v>
      </c>
      <c r="IK42" s="530" t="s">
        <v>2319</v>
      </c>
      <c r="IP42" s="540">
        <v>30</v>
      </c>
      <c r="IQ42" s="545" t="s">
        <v>2404</v>
      </c>
      <c r="IV42" s="507"/>
      <c r="IW42" s="335"/>
      <c r="JA42" s="555"/>
      <c r="JB42" s="540">
        <v>30</v>
      </c>
      <c r="JC42" s="545" t="s">
        <v>2514</v>
      </c>
      <c r="JG42" s="484"/>
      <c r="JH42" s="325" t="s">
        <v>2573</v>
      </c>
      <c r="JI42" s="335">
        <v>751</v>
      </c>
      <c r="JM42" s="555"/>
      <c r="JN42" s="507" t="s">
        <v>1381</v>
      </c>
      <c r="JO42" s="335">
        <v>15.79</v>
      </c>
      <c r="JT42" s="406" t="s">
        <v>2678</v>
      </c>
      <c r="JU42" s="405">
        <v>89.8</v>
      </c>
      <c r="JX42" s="304" t="s">
        <v>1387</v>
      </c>
      <c r="JY42" s="259">
        <f>KA10</f>
        <v>5.99</v>
      </c>
      <c r="JZ42" s="297" t="s">
        <v>2756</v>
      </c>
      <c r="KA42" s="335">
        <v>10.5</v>
      </c>
      <c r="KE42" s="285"/>
      <c r="KF42" s="234" t="s">
        <v>2829</v>
      </c>
      <c r="KG42" s="340">
        <v>81.84</v>
      </c>
      <c r="KJ42" s="297" t="s">
        <v>2123</v>
      </c>
      <c r="KK42" s="259">
        <f>SUM(KM26:KM34)</f>
        <v>587.2700000000001</v>
      </c>
      <c r="KL42" s="540">
        <v>6</v>
      </c>
      <c r="KM42" s="545" t="s">
        <v>2909</v>
      </c>
      <c r="KP42" s="297" t="s">
        <v>2820</v>
      </c>
      <c r="KQ42" s="548">
        <f>SUM(KS30:KS37)</f>
        <v>271.73</v>
      </c>
      <c r="KR42" s="540">
        <v>45</v>
      </c>
      <c r="KS42" s="553" t="s">
        <v>2172</v>
      </c>
      <c r="KT42" s="340" t="s">
        <v>2979</v>
      </c>
      <c r="KV42" s="457" t="s">
        <v>2623</v>
      </c>
      <c r="KW42" s="457"/>
      <c r="KX42" s="297" t="s">
        <v>3262</v>
      </c>
      <c r="KY42" s="202">
        <f>26.4+39.9</f>
        <v>66.3</v>
      </c>
      <c r="LB42" s="297" t="s">
        <v>2123</v>
      </c>
      <c r="LC42" s="259">
        <f>SUM(LE32:LE39)</f>
        <v>808.89</v>
      </c>
      <c r="LD42" s="536" t="s">
        <v>1406</v>
      </c>
      <c r="LE42" s="537">
        <f>LA25+LC45-LG23</f>
        <v>130</v>
      </c>
      <c r="LF42" s="616" t="s">
        <v>2918</v>
      </c>
      <c r="LI42" s="650"/>
      <c r="LJ42" s="540">
        <v>10</v>
      </c>
      <c r="LK42" s="545" t="s">
        <v>3149</v>
      </c>
      <c r="LL42" s="650" t="s">
        <v>2919</v>
      </c>
      <c r="LO42" s="286"/>
      <c r="LP42" s="540">
        <v>10</v>
      </c>
      <c r="LQ42" s="553" t="s">
        <v>3318</v>
      </c>
      <c r="LR42" s="677" t="s">
        <v>2979</v>
      </c>
      <c r="LX42" s="728" t="s">
        <v>2979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1310</v>
      </c>
      <c r="CJ43" s="217">
        <v>0</v>
      </c>
      <c r="CO43" s="217" t="s">
        <v>1164</v>
      </c>
      <c r="CP43" s="217">
        <v>500</v>
      </c>
      <c r="CU43" s="217" t="s">
        <v>1333</v>
      </c>
      <c r="CV43" s="217">
        <v>30</v>
      </c>
      <c r="DA43" s="217" t="s">
        <v>1377</v>
      </c>
      <c r="DB43" s="217">
        <v>127.5</v>
      </c>
      <c r="DG43" s="269" t="s">
        <v>1447</v>
      </c>
      <c r="DH43" s="261">
        <v>65.319999999999993</v>
      </c>
      <c r="DI43" s="527" t="s">
        <v>1438</v>
      </c>
      <c r="DJ43" s="533" t="s">
        <v>1476</v>
      </c>
      <c r="DM43" s="216" t="s">
        <v>1508</v>
      </c>
      <c r="DN43" s="276"/>
      <c r="DP43" s="340"/>
      <c r="DS43" s="216" t="s">
        <v>1551</v>
      </c>
      <c r="DT43" s="276"/>
      <c r="DY43" s="340" t="s">
        <v>1566</v>
      </c>
      <c r="DZ43" s="340">
        <v>734.46</v>
      </c>
      <c r="EL43" s="204" t="s">
        <v>1651</v>
      </c>
      <c r="EM43" s="285">
        <v>29.9</v>
      </c>
      <c r="ER43" s="204" t="s">
        <v>1687</v>
      </c>
      <c r="ES43" s="340">
        <f>11.88+1.49+3.62</f>
        <v>16.990000000000002</v>
      </c>
      <c r="EX43" s="204" t="s">
        <v>1740</v>
      </c>
      <c r="EY43" s="204">
        <f>560-555.22</f>
        <v>4.7799999999999727</v>
      </c>
      <c r="EZ43" s="340" t="s">
        <v>1034</v>
      </c>
      <c r="FD43" s="340" t="s">
        <v>1566</v>
      </c>
      <c r="FE43" s="285">
        <v>790</v>
      </c>
      <c r="FF43" s="340" t="s">
        <v>506</v>
      </c>
      <c r="FJ43" s="340" t="s">
        <v>1566</v>
      </c>
      <c r="FK43" s="285">
        <v>990</v>
      </c>
      <c r="FL43" s="325"/>
      <c r="FM43" s="332"/>
      <c r="FP43" s="530" t="s">
        <v>1822</v>
      </c>
      <c r="FQ43" s="309"/>
      <c r="FV43" s="552" t="s">
        <v>1907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2170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1552</v>
      </c>
      <c r="JU43" s="405">
        <v>19.899999999999999</v>
      </c>
      <c r="JX43" s="300" t="s">
        <v>2124</v>
      </c>
      <c r="JY43" s="259">
        <f>SUM(KA11:KA19)</f>
        <v>2906.73</v>
      </c>
      <c r="JZ43" s="297" t="s">
        <v>2791</v>
      </c>
      <c r="KA43" s="202">
        <f>47.8+1.2+2.5+3.2</f>
        <v>54.7</v>
      </c>
      <c r="KE43" s="285" t="s">
        <v>2715</v>
      </c>
      <c r="KF43" s="234" t="s">
        <v>2815</v>
      </c>
      <c r="KG43" s="340">
        <v>37.700000000000003</v>
      </c>
      <c r="KJ43" s="297" t="s">
        <v>2820</v>
      </c>
      <c r="KK43" s="548">
        <f>SUM(KM28:KM34)</f>
        <v>362.27</v>
      </c>
      <c r="KL43" s="540">
        <v>100</v>
      </c>
      <c r="KM43" s="545" t="s">
        <v>2907</v>
      </c>
      <c r="KN43" s="340" t="s">
        <v>2917</v>
      </c>
      <c r="KR43" s="540">
        <v>12.4</v>
      </c>
      <c r="KS43" s="545" t="s">
        <v>2987</v>
      </c>
      <c r="KT43" s="285" t="s">
        <v>2919</v>
      </c>
      <c r="KV43" s="442" t="s">
        <v>1922</v>
      </c>
      <c r="KW43" s="260">
        <f>SUM(KY6:KY7)</f>
        <v>1950.12</v>
      </c>
      <c r="KX43" s="297" t="s">
        <v>3101</v>
      </c>
      <c r="KY43" s="202">
        <v>6</v>
      </c>
      <c r="KZ43" s="340" t="s">
        <v>2917</v>
      </c>
      <c r="LB43" s="297" t="s">
        <v>2820</v>
      </c>
      <c r="LC43" s="548">
        <f>SUM(LE34:LE39)</f>
        <v>235.89</v>
      </c>
      <c r="LD43" s="540">
        <v>22.2</v>
      </c>
      <c r="LE43" s="553" t="s">
        <v>3105</v>
      </c>
      <c r="LI43" s="650"/>
      <c r="LJ43" s="540">
        <v>30</v>
      </c>
      <c r="LK43" s="545" t="s">
        <v>3155</v>
      </c>
      <c r="LO43" s="286"/>
      <c r="LP43" s="540">
        <v>10</v>
      </c>
      <c r="LQ43" s="553" t="s">
        <v>1012</v>
      </c>
      <c r="LR43" s="680" t="s">
        <v>2919</v>
      </c>
      <c r="LV43" s="734"/>
      <c r="LW43" s="729"/>
      <c r="LX43" s="732" t="s">
        <v>2919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1300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1375</v>
      </c>
      <c r="DB44" s="217">
        <v>114.55</v>
      </c>
      <c r="DG44" s="269" t="s">
        <v>1426</v>
      </c>
      <c r="DH44" s="261">
        <v>95</v>
      </c>
      <c r="DI44" s="527" t="s">
        <v>1475</v>
      </c>
      <c r="DJ44" s="533" t="s">
        <v>1476</v>
      </c>
      <c r="DL44" s="204"/>
      <c r="DM44" s="216" t="s">
        <v>1509</v>
      </c>
      <c r="DN44" s="276"/>
      <c r="DO44" s="285"/>
      <c r="DP44" s="494">
        <f>-DP10</f>
        <v>2524</v>
      </c>
      <c r="DR44" s="204"/>
      <c r="DS44" s="216" t="s">
        <v>1588</v>
      </c>
      <c r="DT44" s="276"/>
      <c r="DY44" s="340" t="s">
        <v>1608</v>
      </c>
      <c r="EA44" s="340" t="s">
        <v>1619</v>
      </c>
      <c r="EL44" s="204" t="s">
        <v>1654</v>
      </c>
      <c r="EM44" s="204">
        <v>35.799999999999997</v>
      </c>
      <c r="ER44" s="204" t="s">
        <v>1689</v>
      </c>
      <c r="ES44" s="340">
        <v>69.7</v>
      </c>
      <c r="EX44" s="204" t="s">
        <v>1732</v>
      </c>
      <c r="EY44" s="204">
        <v>8.64</v>
      </c>
      <c r="FD44" s="340" t="s">
        <v>1782</v>
      </c>
      <c r="FE44" s="204"/>
      <c r="FF44" s="340" t="s">
        <v>1668</v>
      </c>
      <c r="FJ44" s="340" t="s">
        <v>1809</v>
      </c>
      <c r="FK44" s="204"/>
      <c r="FL44" s="204"/>
      <c r="FP44" s="530" t="s">
        <v>1824</v>
      </c>
      <c r="FQ44" s="309"/>
      <c r="GB44" s="552" t="s">
        <v>1919</v>
      </c>
      <c r="GC44" s="204">
        <v>11</v>
      </c>
      <c r="GH44" s="552" t="s">
        <v>1950</v>
      </c>
      <c r="GI44" s="204">
        <v>43</v>
      </c>
      <c r="GJ44" s="340" t="s">
        <v>1146</v>
      </c>
      <c r="GN44" s="536" t="s">
        <v>1741</v>
      </c>
      <c r="GO44" s="218"/>
      <c r="GP44" s="340" t="s">
        <v>1668</v>
      </c>
      <c r="GT44" s="554">
        <v>30</v>
      </c>
      <c r="GU44" s="530" t="s">
        <v>2048</v>
      </c>
      <c r="GZ44" s="309" t="s">
        <v>2060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2213</v>
      </c>
      <c r="HY44" s="486">
        <v>98.89</v>
      </c>
      <c r="HZ44" s="340" t="s">
        <v>506</v>
      </c>
      <c r="ID44" s="540">
        <v>10</v>
      </c>
      <c r="IE44" s="530" t="s">
        <v>2287</v>
      </c>
      <c r="IH44" s="243" t="s">
        <v>1923</v>
      </c>
      <c r="II44" s="260">
        <f>SUM(IK14:IK15)</f>
        <v>1933.7466666666667</v>
      </c>
      <c r="IJ44" s="540">
        <v>10</v>
      </c>
      <c r="IK44" s="530" t="s">
        <v>2342</v>
      </c>
      <c r="IP44" s="540">
        <v>20</v>
      </c>
      <c r="IQ44" s="545" t="s">
        <v>2437</v>
      </c>
      <c r="IV44" s="507"/>
      <c r="IW44" s="335"/>
      <c r="JB44" s="540">
        <v>13</v>
      </c>
      <c r="JC44" s="545" t="s">
        <v>2540</v>
      </c>
      <c r="JG44" s="484"/>
      <c r="JH44" s="325" t="s">
        <v>1613</v>
      </c>
      <c r="JI44" s="335">
        <v>12.34</v>
      </c>
      <c r="JN44" s="325" t="s">
        <v>2658</v>
      </c>
      <c r="JO44" s="335">
        <v>13.3</v>
      </c>
      <c r="JT44" s="407" t="s">
        <v>2484</v>
      </c>
      <c r="JU44" s="408">
        <f>80.82+75.78</f>
        <v>156.6</v>
      </c>
      <c r="JX44" s="302" t="s">
        <v>2125</v>
      </c>
      <c r="JY44" s="259">
        <f>SUM(KA24:KA32)</f>
        <v>1008.43</v>
      </c>
      <c r="JZ44" s="297" t="s">
        <v>2780</v>
      </c>
      <c r="KA44" s="335">
        <v>26.5</v>
      </c>
      <c r="KE44" s="285"/>
      <c r="KF44" s="234" t="s">
        <v>2814</v>
      </c>
      <c r="KG44" s="340">
        <v>35.25</v>
      </c>
      <c r="KL44" s="540">
        <v>9</v>
      </c>
      <c r="KM44" s="545" t="s">
        <v>2908</v>
      </c>
      <c r="KN44" s="340" t="s">
        <v>2918</v>
      </c>
      <c r="KP44" s="309" t="s">
        <v>2991</v>
      </c>
      <c r="KQ44" s="558">
        <v>100</v>
      </c>
      <c r="KR44" s="540">
        <v>10</v>
      </c>
      <c r="KS44" s="545" t="s">
        <v>3034</v>
      </c>
      <c r="KV44" s="312" t="s">
        <v>2947</v>
      </c>
      <c r="KW44" s="260">
        <f>SUM(KY23:KY23)</f>
        <v>1196.72</v>
      </c>
      <c r="KX44" s="297" t="s">
        <v>3102</v>
      </c>
      <c r="KY44" s="202">
        <v>7.9</v>
      </c>
      <c r="KZ44" s="340" t="s">
        <v>2918</v>
      </c>
      <c r="LD44" s="540">
        <v>30</v>
      </c>
      <c r="LE44" s="545" t="s">
        <v>1822</v>
      </c>
      <c r="LJ44" s="540">
        <v>30</v>
      </c>
      <c r="LK44" s="545" t="s">
        <v>1822</v>
      </c>
      <c r="LL44" s="647" t="s">
        <v>2917</v>
      </c>
      <c r="LP44" s="687" t="s">
        <v>3223</v>
      </c>
      <c r="LQ44" s="488">
        <f>212.55-160-14.41</f>
        <v>38.140000000000015</v>
      </c>
      <c r="LV44" s="734"/>
      <c r="LW44" s="261"/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1354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8" t="s">
        <v>1404</v>
      </c>
      <c r="DH45" s="275">
        <v>350</v>
      </c>
      <c r="DJ45" s="286"/>
      <c r="DL45" s="204"/>
      <c r="DM45" s="204" t="s">
        <v>1487</v>
      </c>
      <c r="DN45" s="261">
        <v>22.9</v>
      </c>
      <c r="DO45" s="285"/>
      <c r="DP45" s="494">
        <v>34.799999999999997</v>
      </c>
      <c r="DR45" s="204"/>
      <c r="DS45" s="216" t="s">
        <v>1578</v>
      </c>
      <c r="DT45" s="276"/>
      <c r="DU45" s="265"/>
      <c r="DY45" s="340" t="s">
        <v>1422</v>
      </c>
      <c r="DZ45" s="340">
        <v>70</v>
      </c>
      <c r="EL45" s="340" t="s">
        <v>1647</v>
      </c>
      <c r="EM45" s="340">
        <v>19.899999999999999</v>
      </c>
      <c r="ET45" s="265"/>
      <c r="EX45" s="204" t="s">
        <v>1734</v>
      </c>
      <c r="EY45" s="204">
        <f>7.3+13+10.5+10.8</f>
        <v>41.6</v>
      </c>
      <c r="FD45" s="340" t="s">
        <v>1422</v>
      </c>
      <c r="FE45" s="340">
        <v>30</v>
      </c>
      <c r="FF45" s="340" t="s">
        <v>1536</v>
      </c>
      <c r="FJ45" s="340" t="s">
        <v>1422</v>
      </c>
      <c r="FK45" s="340">
        <v>80</v>
      </c>
      <c r="FL45" s="204"/>
      <c r="FP45" s="204" t="s">
        <v>1817</v>
      </c>
      <c r="FQ45" s="340">
        <v>24</v>
      </c>
      <c r="FV45" s="340" t="s">
        <v>1566</v>
      </c>
      <c r="FW45" s="285">
        <v>646</v>
      </c>
      <c r="FX45" s="265"/>
      <c r="GB45" s="552" t="s">
        <v>1924</v>
      </c>
      <c r="GC45" s="204">
        <v>20</v>
      </c>
      <c r="GD45" s="265"/>
      <c r="GH45" s="552" t="s">
        <v>1964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2029</v>
      </c>
      <c r="GU45" s="204">
        <v>70</v>
      </c>
      <c r="GZ45" s="556">
        <v>60</v>
      </c>
      <c r="HA45" s="530" t="s">
        <v>1822</v>
      </c>
      <c r="HF45" s="340" t="s">
        <v>2044</v>
      </c>
      <c r="HG45" s="204">
        <v>90</v>
      </c>
      <c r="HX45" s="567" t="s">
        <v>2256</v>
      </c>
      <c r="HY45" s="567"/>
      <c r="HZ45" s="340" t="s">
        <v>93</v>
      </c>
      <c r="ID45" s="540">
        <f>20+9</f>
        <v>29</v>
      </c>
      <c r="IE45" s="530" t="s">
        <v>2302</v>
      </c>
      <c r="IH45" s="310" t="s">
        <v>1387</v>
      </c>
      <c r="II45" s="259">
        <f>SUM(IK10:IK11)</f>
        <v>3467.75</v>
      </c>
      <c r="IJ45" s="540">
        <v>20</v>
      </c>
      <c r="IK45" s="530" t="s">
        <v>2361</v>
      </c>
      <c r="IO45" s="484"/>
      <c r="IP45" s="540">
        <v>12</v>
      </c>
      <c r="IQ45" s="545" t="s">
        <v>2415</v>
      </c>
      <c r="IV45" s="337"/>
      <c r="IW45" s="339"/>
      <c r="JB45" s="482" t="s">
        <v>2515</v>
      </c>
      <c r="JC45" s="488">
        <v>18</v>
      </c>
      <c r="JG45" s="555"/>
      <c r="JH45" s="507" t="s">
        <v>2884</v>
      </c>
      <c r="JI45" s="335">
        <v>65</v>
      </c>
      <c r="JN45" s="340" t="s">
        <v>2657</v>
      </c>
      <c r="JO45" s="335">
        <v>120.36</v>
      </c>
      <c r="JT45" s="568" t="s">
        <v>2716</v>
      </c>
      <c r="JU45" s="409">
        <v>27.83</v>
      </c>
      <c r="JX45" s="297" t="s">
        <v>2123</v>
      </c>
      <c r="JY45" s="259">
        <f>SUM(KA33:KA44)</f>
        <v>681.71</v>
      </c>
      <c r="JZ45" s="340" t="s">
        <v>2894</v>
      </c>
      <c r="KA45" s="261">
        <f>8+61+1</f>
        <v>70</v>
      </c>
      <c r="KE45" s="285"/>
      <c r="KF45" s="569" t="s">
        <v>2830</v>
      </c>
      <c r="KG45" s="340">
        <v>98.58</v>
      </c>
      <c r="KJ45" s="309" t="s">
        <v>2921</v>
      </c>
      <c r="KK45" s="558">
        <v>250</v>
      </c>
      <c r="KL45" s="540">
        <v>10</v>
      </c>
      <c r="KM45" s="545" t="s">
        <v>2915</v>
      </c>
      <c r="KR45" s="540">
        <f>10+10+5+5</f>
        <v>30</v>
      </c>
      <c r="KS45" s="545" t="s">
        <v>3035</v>
      </c>
      <c r="KT45" s="340" t="s">
        <v>2917</v>
      </c>
      <c r="KV45" s="443" t="s">
        <v>2935</v>
      </c>
      <c r="KW45" s="259">
        <v>0</v>
      </c>
      <c r="KX45" s="297" t="s">
        <v>3090</v>
      </c>
      <c r="KY45" s="335">
        <f>40.5+66.1</f>
        <v>106.6</v>
      </c>
      <c r="LB45" s="309" t="s">
        <v>3131</v>
      </c>
      <c r="LC45" s="558">
        <v>200</v>
      </c>
      <c r="LD45" s="540">
        <v>20</v>
      </c>
      <c r="LE45" s="545" t="s">
        <v>3146</v>
      </c>
      <c r="LJ45" s="540">
        <v>13</v>
      </c>
      <c r="LK45" s="545" t="s">
        <v>3175</v>
      </c>
      <c r="LL45" s="647" t="s">
        <v>2918</v>
      </c>
      <c r="LP45" s="688" t="s">
        <v>3233</v>
      </c>
      <c r="LQ45" s="677">
        <v>300</v>
      </c>
      <c r="LR45" s="677" t="s">
        <v>2917</v>
      </c>
      <c r="LV45" s="734"/>
      <c r="LW45" s="488"/>
      <c r="LX45" s="728" t="s">
        <v>2917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1350</v>
      </c>
      <c r="DG46" s="216" t="s">
        <v>1473</v>
      </c>
      <c r="DH46" s="276"/>
      <c r="DI46" s="197" t="s">
        <v>506</v>
      </c>
      <c r="DL46" s="204"/>
      <c r="DM46" s="204" t="s">
        <v>1505</v>
      </c>
      <c r="DN46" s="261">
        <v>36.299999999999997</v>
      </c>
      <c r="DO46" s="285"/>
      <c r="DP46" s="494">
        <v>1.93</v>
      </c>
      <c r="DR46" s="204"/>
      <c r="DS46" s="216" t="s">
        <v>1579</v>
      </c>
      <c r="DT46" s="276"/>
      <c r="EL46" s="204" t="s">
        <v>1656</v>
      </c>
      <c r="EM46" s="204">
        <v>29</v>
      </c>
      <c r="ER46" s="340" t="s">
        <v>1566</v>
      </c>
      <c r="ES46" s="285">
        <v>840</v>
      </c>
      <c r="EX46" s="204" t="s">
        <v>1735</v>
      </c>
      <c r="EY46" s="204">
        <v>15.19</v>
      </c>
      <c r="FF46" s="340" t="s">
        <v>93</v>
      </c>
      <c r="FL46" s="340" t="s">
        <v>506</v>
      </c>
      <c r="FP46" s="285" t="s">
        <v>1336</v>
      </c>
      <c r="FQ46" s="285">
        <v>50</v>
      </c>
      <c r="FR46" s="265"/>
      <c r="FV46" s="340" t="s">
        <v>1909</v>
      </c>
      <c r="FW46" s="204"/>
      <c r="GB46" s="552" t="s">
        <v>1935</v>
      </c>
      <c r="GC46" s="204">
        <v>20</v>
      </c>
      <c r="GN46" s="309" t="s">
        <v>2010</v>
      </c>
      <c r="GO46" s="307">
        <f>GK17+GN45-GQ17</f>
        <v>104</v>
      </c>
      <c r="GP46" s="340" t="s">
        <v>1146</v>
      </c>
      <c r="GT46" s="552" t="s">
        <v>2043</v>
      </c>
      <c r="GU46" s="204">
        <v>29.6</v>
      </c>
      <c r="GZ46" s="554">
        <v>20</v>
      </c>
      <c r="HA46" s="530" t="s">
        <v>2106</v>
      </c>
      <c r="HX46" s="567"/>
      <c r="HY46" s="567"/>
      <c r="ID46" s="325" t="s">
        <v>2313</v>
      </c>
      <c r="IE46" s="486">
        <v>23</v>
      </c>
      <c r="IH46" s="300" t="s">
        <v>2124</v>
      </c>
      <c r="II46" s="311">
        <f>SUM(IK12:IK13)</f>
        <v>2138.0500000000002</v>
      </c>
      <c r="IJ46" s="540">
        <v>5</v>
      </c>
      <c r="IK46" s="530" t="s">
        <v>2345</v>
      </c>
      <c r="IO46" s="484"/>
      <c r="IP46" s="540">
        <v>20</v>
      </c>
      <c r="IQ46" s="545" t="s">
        <v>2172</v>
      </c>
      <c r="IV46" s="337"/>
      <c r="IW46" s="308"/>
      <c r="JB46" s="325" t="s">
        <v>2387</v>
      </c>
      <c r="JC46" s="340">
        <v>86.8</v>
      </c>
      <c r="JH46" s="325" t="s">
        <v>2567</v>
      </c>
      <c r="JI46" s="335">
        <v>13.3</v>
      </c>
      <c r="JN46" s="507" t="s">
        <v>2644</v>
      </c>
      <c r="JO46" s="335">
        <v>2.79</v>
      </c>
      <c r="JT46" s="568" t="s">
        <v>2697</v>
      </c>
      <c r="JU46" s="409">
        <v>8.61</v>
      </c>
      <c r="JX46" s="297" t="s">
        <v>2820</v>
      </c>
      <c r="JY46" s="259">
        <f>SUM(KA36:KA44)</f>
        <v>301.70999999999998</v>
      </c>
      <c r="JZ46" s="340" t="s">
        <v>2895</v>
      </c>
      <c r="KA46" s="261">
        <v>300</v>
      </c>
      <c r="KE46" s="285"/>
      <c r="KL46" s="540">
        <v>20</v>
      </c>
      <c r="KM46" s="545" t="s">
        <v>2946</v>
      </c>
      <c r="KQ46" s="285"/>
      <c r="KR46" s="340" t="s">
        <v>2992</v>
      </c>
      <c r="KS46" s="340">
        <v>120</v>
      </c>
      <c r="KT46" s="340" t="s">
        <v>2918</v>
      </c>
      <c r="KV46" s="301" t="s">
        <v>2942</v>
      </c>
      <c r="KW46" s="259">
        <f>SUM(KY8:KY13)</f>
        <v>1272.93</v>
      </c>
      <c r="KX46" s="297" t="s">
        <v>3089</v>
      </c>
      <c r="KY46" s="335">
        <v>5.8</v>
      </c>
      <c r="LD46" s="540">
        <v>10</v>
      </c>
      <c r="LE46" s="545" t="s">
        <v>2172</v>
      </c>
      <c r="LJ46" s="540">
        <v>7</v>
      </c>
      <c r="LK46" s="545" t="s">
        <v>3209</v>
      </c>
      <c r="LP46" s="677" t="s">
        <v>3237</v>
      </c>
      <c r="LQ46" s="677">
        <v>27.5</v>
      </c>
      <c r="LR46" s="677" t="s">
        <v>2918</v>
      </c>
      <c r="LX46" s="728" t="s">
        <v>2918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1427</v>
      </c>
      <c r="DH47" s="276"/>
      <c r="DI47" s="197" t="s">
        <v>992</v>
      </c>
      <c r="DJ47" s="543"/>
      <c r="DL47" s="204"/>
      <c r="DM47" s="204" t="s">
        <v>1504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1708</v>
      </c>
      <c r="ES47" s="204"/>
      <c r="EX47" s="204"/>
      <c r="EY47" s="204"/>
      <c r="EZ47" s="265"/>
      <c r="FC47" s="240"/>
      <c r="FF47" s="340" t="s">
        <v>1146</v>
      </c>
      <c r="FL47" s="340" t="s">
        <v>1668</v>
      </c>
      <c r="FP47" s="552" t="s">
        <v>1821</v>
      </c>
      <c r="FQ47" s="285">
        <v>4.41</v>
      </c>
      <c r="FV47" s="340" t="s">
        <v>1870</v>
      </c>
      <c r="FW47" s="340">
        <v>52.15</v>
      </c>
      <c r="GB47" s="552" t="s">
        <v>1930</v>
      </c>
      <c r="GC47" s="204">
        <v>30.35</v>
      </c>
      <c r="GH47" s="340" t="s">
        <v>1566</v>
      </c>
      <c r="GI47" s="285">
        <v>638</v>
      </c>
      <c r="GN47" s="530" t="s">
        <v>1987</v>
      </c>
      <c r="GO47" s="309"/>
      <c r="GP47" s="340" t="s">
        <v>1034</v>
      </c>
      <c r="GT47" s="552" t="s">
        <v>2026</v>
      </c>
      <c r="GU47" s="204">
        <v>32.1</v>
      </c>
      <c r="GZ47" s="554">
        <v>30</v>
      </c>
      <c r="HA47" s="530" t="s">
        <v>2065</v>
      </c>
      <c r="HX47" s="213" t="s">
        <v>2250</v>
      </c>
      <c r="HY47" s="340">
        <f>40+150</f>
        <v>190</v>
      </c>
      <c r="ID47" s="507" t="s">
        <v>2271</v>
      </c>
      <c r="IE47" s="340">
        <v>54.8</v>
      </c>
      <c r="IH47" s="299" t="s">
        <v>2125</v>
      </c>
      <c r="II47" s="311">
        <f>SUM(IK16:IK23)</f>
        <v>1252.2433333333333</v>
      </c>
      <c r="IJ47" s="540">
        <v>7</v>
      </c>
      <c r="IK47" s="530" t="s">
        <v>2357</v>
      </c>
      <c r="IO47" s="555"/>
      <c r="IP47" s="534">
        <v>10</v>
      </c>
      <c r="IQ47" s="545" t="s">
        <v>2425</v>
      </c>
      <c r="IV47" s="337"/>
      <c r="IW47" s="337"/>
      <c r="JB47" s="325" t="s">
        <v>2544</v>
      </c>
      <c r="JC47" s="335">
        <v>36.9</v>
      </c>
      <c r="JH47" s="337" t="s">
        <v>2608</v>
      </c>
      <c r="JI47" s="308">
        <v>3</v>
      </c>
      <c r="JN47" s="325" t="s">
        <v>2662</v>
      </c>
      <c r="JO47" s="335">
        <v>8.5500000000000007</v>
      </c>
      <c r="JT47" s="568" t="s">
        <v>2698</v>
      </c>
      <c r="JU47" s="409">
        <v>19.46</v>
      </c>
      <c r="JZ47" s="217" t="s">
        <v>3168</v>
      </c>
      <c r="KA47" s="274">
        <f>670+187</f>
        <v>857</v>
      </c>
      <c r="KE47" s="285"/>
      <c r="KK47" s="285"/>
      <c r="KL47" s="540">
        <v>24</v>
      </c>
      <c r="KM47" s="545" t="s">
        <v>2922</v>
      </c>
      <c r="KQ47" s="285"/>
      <c r="KR47" s="340" t="s">
        <v>2988</v>
      </c>
      <c r="KS47" s="340">
        <v>82.45</v>
      </c>
      <c r="KV47" s="254" t="s">
        <v>2943</v>
      </c>
      <c r="KW47" s="621">
        <f>SUM(KY14:KY22)</f>
        <v>1574</v>
      </c>
      <c r="KX47" s="340" t="s">
        <v>2903</v>
      </c>
      <c r="KY47" s="261">
        <f>400+110</f>
        <v>510</v>
      </c>
      <c r="LB47" s="616" t="s">
        <v>3057</v>
      </c>
      <c r="LC47" s="614"/>
      <c r="LD47" s="540">
        <v>7</v>
      </c>
      <c r="LE47" s="545" t="s">
        <v>3121</v>
      </c>
      <c r="LJ47" s="540">
        <v>50</v>
      </c>
      <c r="LK47" s="218" t="s">
        <v>2946</v>
      </c>
      <c r="LP47" s="696" t="s">
        <v>3248</v>
      </c>
      <c r="LQ47" s="695">
        <v>21.1</v>
      </c>
      <c r="LW47" s="339"/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1468</v>
      </c>
      <c r="DH48" s="276"/>
      <c r="DI48" s="285" t="s">
        <v>93</v>
      </c>
      <c r="DJ48" s="261"/>
      <c r="DM48" s="204" t="s">
        <v>1529</v>
      </c>
      <c r="DN48" s="261">
        <v>34</v>
      </c>
      <c r="DO48" s="285"/>
      <c r="DP48" s="494">
        <v>21.78</v>
      </c>
      <c r="DS48" s="204" t="s">
        <v>1525</v>
      </c>
      <c r="DT48" s="261">
        <v>34.799999999999997</v>
      </c>
      <c r="EL48" s="340" t="s">
        <v>1566</v>
      </c>
      <c r="EM48" s="340">
        <v>870</v>
      </c>
      <c r="EN48" s="340" t="s">
        <v>1619</v>
      </c>
      <c r="ER48" s="340" t="s">
        <v>1422</v>
      </c>
      <c r="ES48" s="340">
        <v>60</v>
      </c>
      <c r="EX48" s="340" t="s">
        <v>1566</v>
      </c>
      <c r="EY48" s="285">
        <v>940</v>
      </c>
      <c r="FF48" s="340" t="s">
        <v>1034</v>
      </c>
      <c r="FL48" s="340" t="s">
        <v>1536</v>
      </c>
      <c r="FP48" s="552" t="s">
        <v>1820</v>
      </c>
      <c r="FQ48" s="204">
        <v>70.3</v>
      </c>
      <c r="FV48" s="340" t="s">
        <v>1871</v>
      </c>
      <c r="GH48" s="340" t="s">
        <v>1974</v>
      </c>
      <c r="GI48" s="204"/>
      <c r="GJ48" s="340" t="s">
        <v>478</v>
      </c>
      <c r="GN48" s="530" t="s">
        <v>2008</v>
      </c>
      <c r="GO48" s="309"/>
      <c r="GT48" s="552" t="s">
        <v>1487</v>
      </c>
      <c r="GU48" s="340">
        <v>2.66</v>
      </c>
      <c r="GZ48" s="552" t="s">
        <v>2069</v>
      </c>
      <c r="HA48" s="204">
        <v>6</v>
      </c>
      <c r="HB48" s="265"/>
      <c r="HX48" s="355" t="s">
        <v>2221</v>
      </c>
      <c r="HY48" s="486">
        <v>150</v>
      </c>
      <c r="ID48" s="507" t="s">
        <v>1651</v>
      </c>
      <c r="IE48" s="340">
        <v>54.6</v>
      </c>
      <c r="IH48" s="297" t="s">
        <v>2123</v>
      </c>
      <c r="II48" s="311">
        <f>SUM(IK24:IK36)</f>
        <v>602.14</v>
      </c>
      <c r="IJ48" s="534">
        <f>-IK7</f>
        <v>-15</v>
      </c>
      <c r="IK48" s="530" t="s">
        <v>2346</v>
      </c>
      <c r="IP48" s="534">
        <f>17+11+6</f>
        <v>34</v>
      </c>
      <c r="IQ48" s="545" t="s">
        <v>2430</v>
      </c>
      <c r="IV48" s="500"/>
      <c r="IW48" s="337"/>
      <c r="JB48" s="325" t="s">
        <v>2567</v>
      </c>
      <c r="JC48" s="335">
        <v>13.3</v>
      </c>
      <c r="JH48" s="337"/>
      <c r="JI48" s="337"/>
      <c r="JN48" s="325" t="s">
        <v>2663</v>
      </c>
      <c r="JO48" s="335">
        <v>10.35</v>
      </c>
      <c r="JS48" s="562" t="s">
        <v>2710</v>
      </c>
      <c r="JT48" s="568" t="s">
        <v>2700</v>
      </c>
      <c r="JU48" s="410">
        <f>5.42+0.41+0.58+2.33+0.29+0.28+0.26+1.45+0.29+4.73+1.54</f>
        <v>17.579999999999998</v>
      </c>
      <c r="JZ48" s="535">
        <v>47.04</v>
      </c>
      <c r="KA48" s="274" t="s">
        <v>2792</v>
      </c>
      <c r="KK48" s="285"/>
      <c r="KL48" s="540">
        <v>8</v>
      </c>
      <c r="KM48" s="545" t="s">
        <v>2949</v>
      </c>
      <c r="KR48" s="559" t="s">
        <v>2997</v>
      </c>
      <c r="KS48" s="488">
        <v>50</v>
      </c>
      <c r="KV48" s="445" t="s">
        <v>2798</v>
      </c>
      <c r="KW48" s="259">
        <f>SUM(KY24:KY31)</f>
        <v>699.97</v>
      </c>
      <c r="KX48" s="217" t="s">
        <v>3168</v>
      </c>
      <c r="KY48" s="274">
        <f>194+179+2</f>
        <v>375</v>
      </c>
      <c r="LB48" s="616" t="s">
        <v>3058</v>
      </c>
      <c r="LC48" s="614"/>
      <c r="LD48" s="540">
        <v>30</v>
      </c>
      <c r="LE48" s="545" t="s">
        <v>3144</v>
      </c>
      <c r="LJ48" s="540">
        <v>40</v>
      </c>
      <c r="LK48" s="218" t="s">
        <v>3200</v>
      </c>
      <c r="LP48" s="696" t="s">
        <v>3259</v>
      </c>
      <c r="LQ48" s="261">
        <v>17.5</v>
      </c>
      <c r="LW48" s="729"/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1421</v>
      </c>
      <c r="DH49" s="276"/>
      <c r="DI49" s="340" t="s">
        <v>1146</v>
      </c>
      <c r="DJ49" s="335"/>
      <c r="DM49" s="204"/>
      <c r="DO49" s="285"/>
      <c r="DP49" s="494">
        <v>27.85</v>
      </c>
      <c r="DS49" s="204" t="s">
        <v>1552</v>
      </c>
      <c r="DT49" s="261">
        <v>39.9</v>
      </c>
      <c r="EL49" s="340" t="s">
        <v>1655</v>
      </c>
      <c r="EX49" s="340" t="s">
        <v>1736</v>
      </c>
      <c r="EY49" s="204"/>
      <c r="FL49" s="340" t="s">
        <v>93</v>
      </c>
      <c r="FP49" s="552" t="s">
        <v>1853</v>
      </c>
      <c r="FQ49" s="204">
        <v>206</v>
      </c>
      <c r="FV49" s="340" t="s">
        <v>1422</v>
      </c>
      <c r="FW49" s="340">
        <v>48</v>
      </c>
      <c r="GB49" s="340" t="s">
        <v>1566</v>
      </c>
      <c r="GC49" s="285">
        <v>1057</v>
      </c>
      <c r="GH49" s="340" t="s">
        <v>1422</v>
      </c>
      <c r="GI49" s="340">
        <v>72</v>
      </c>
      <c r="GJ49" s="265" t="s">
        <v>1301</v>
      </c>
      <c r="GN49" s="530" t="s">
        <v>2052</v>
      </c>
      <c r="GO49" s="309"/>
      <c r="GT49" s="552" t="s">
        <v>2018</v>
      </c>
      <c r="GU49" s="204">
        <v>60.6</v>
      </c>
      <c r="GV49" s="779" t="s">
        <v>2051</v>
      </c>
      <c r="GZ49" s="340" t="s">
        <v>2045</v>
      </c>
      <c r="HA49" s="442">
        <v>670.00099999999998</v>
      </c>
      <c r="HX49" s="356" t="s">
        <v>2246</v>
      </c>
      <c r="HY49" s="340">
        <f>389.7+107.1</f>
        <v>496.79999999999995</v>
      </c>
      <c r="ID49" s="507" t="s">
        <v>2291</v>
      </c>
      <c r="IE49" s="340">
        <v>195.81</v>
      </c>
      <c r="IH49" s="297" t="s">
        <v>2604</v>
      </c>
      <c r="II49" s="259">
        <f>SUM(IK27:IK36)</f>
        <v>428.43999999999994</v>
      </c>
      <c r="IJ49" s="534">
        <v>20</v>
      </c>
      <c r="IK49" s="530" t="s">
        <v>1822</v>
      </c>
      <c r="IP49" s="534">
        <v>20</v>
      </c>
      <c r="IQ49" s="545" t="s">
        <v>2436</v>
      </c>
      <c r="IV49" s="337"/>
      <c r="IW49" s="467"/>
      <c r="JB49" s="507"/>
      <c r="JC49" s="335"/>
      <c r="JH49" s="500"/>
      <c r="JI49" s="337"/>
      <c r="JN49" s="325" t="s">
        <v>2664</v>
      </c>
      <c r="JO49" s="335">
        <v>15.000999999999999</v>
      </c>
      <c r="JS49" s="565" t="s">
        <v>2711</v>
      </c>
      <c r="JT49" s="568" t="s">
        <v>2702</v>
      </c>
      <c r="JU49" s="570">
        <f>0.29*3</f>
        <v>0.86999999999999988</v>
      </c>
      <c r="JZ49" s="536" t="s">
        <v>1406</v>
      </c>
      <c r="KA49" s="537">
        <f>JW19+JY53+JY8-KC19</f>
        <v>280</v>
      </c>
      <c r="KL49" s="340" t="s">
        <v>2930</v>
      </c>
      <c r="KM49" s="340">
        <v>7.2</v>
      </c>
      <c r="KR49" s="340" t="s">
        <v>3020</v>
      </c>
      <c r="KS49" s="340">
        <v>19.649999999999999</v>
      </c>
      <c r="KV49" s="297" t="s">
        <v>2123</v>
      </c>
      <c r="KW49" s="259">
        <f>SUM(KY32:KY46)</f>
        <v>2538.3200000000002</v>
      </c>
      <c r="KX49" s="535">
        <v>1.9</v>
      </c>
      <c r="KY49" s="274"/>
      <c r="LD49" s="559" t="s">
        <v>3104</v>
      </c>
      <c r="LE49" s="488">
        <f>7.77+2.71</f>
        <v>10.48</v>
      </c>
      <c r="LJ49" s="652" t="s">
        <v>3194</v>
      </c>
      <c r="LK49" s="202">
        <v>28.72</v>
      </c>
      <c r="LP49" s="712" t="s">
        <v>3286</v>
      </c>
      <c r="LQ49" s="488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1435</v>
      </c>
      <c r="DH50" s="276"/>
      <c r="DI50" s="483" t="s">
        <v>1001</v>
      </c>
      <c r="DK50" s="204"/>
      <c r="DM50" s="217" t="s">
        <v>1526</v>
      </c>
      <c r="DN50" s="274">
        <v>700</v>
      </c>
      <c r="DO50" s="285"/>
      <c r="DP50" s="494">
        <v>15.35</v>
      </c>
      <c r="DQ50" s="204"/>
      <c r="DS50" s="217" t="s">
        <v>1524</v>
      </c>
      <c r="DT50" s="277">
        <v>0</v>
      </c>
      <c r="DU50" s="285"/>
      <c r="EL50" s="340" t="s">
        <v>1422</v>
      </c>
      <c r="EM50" s="340">
        <v>100</v>
      </c>
      <c r="EV50" s="240"/>
      <c r="EX50" s="340" t="s">
        <v>1422</v>
      </c>
      <c r="EY50" s="340">
        <v>30</v>
      </c>
      <c r="FL50" s="340" t="s">
        <v>1146</v>
      </c>
      <c r="FP50" s="552" t="s">
        <v>1828</v>
      </c>
      <c r="FQ50" s="204">
        <v>45.6</v>
      </c>
      <c r="GB50" s="340" t="s">
        <v>1934</v>
      </c>
      <c r="GC50" s="204"/>
      <c r="GN50" s="530" t="s">
        <v>2007</v>
      </c>
      <c r="GO50" s="309"/>
      <c r="GP50" s="340" t="s">
        <v>478</v>
      </c>
      <c r="GT50" s="552" t="s">
        <v>2025</v>
      </c>
      <c r="GU50" s="204">
        <v>14.9</v>
      </c>
      <c r="GV50" s="779"/>
      <c r="GZ50" s="442" t="s">
        <v>2076</v>
      </c>
      <c r="HX50" s="355" t="s">
        <v>2220</v>
      </c>
      <c r="HY50" s="557">
        <v>14.4</v>
      </c>
      <c r="ID50" s="507" t="s">
        <v>2298</v>
      </c>
      <c r="IE50" s="340">
        <v>50</v>
      </c>
      <c r="IH50" s="530" t="s">
        <v>2363</v>
      </c>
      <c r="II50" s="534">
        <v>300</v>
      </c>
      <c r="IJ50" s="534">
        <v>20</v>
      </c>
      <c r="IK50" s="530" t="s">
        <v>2359</v>
      </c>
      <c r="IP50" s="325" t="s">
        <v>2401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2665</v>
      </c>
      <c r="JO50" s="308">
        <v>7.67</v>
      </c>
      <c r="JS50" s="571"/>
      <c r="JT50" s="572" t="s">
        <v>2704</v>
      </c>
      <c r="JU50" s="410">
        <v>21.27</v>
      </c>
      <c r="JZ50" s="540">
        <v>34</v>
      </c>
      <c r="KA50" s="553" t="s">
        <v>2793</v>
      </c>
      <c r="KG50" s="204"/>
      <c r="KL50" s="340" t="s">
        <v>2928</v>
      </c>
      <c r="KM50" s="340">
        <v>32.4</v>
      </c>
      <c r="KR50" s="217" t="s">
        <v>3005</v>
      </c>
      <c r="KS50" s="204">
        <v>25.8</v>
      </c>
      <c r="KV50" s="297" t="s">
        <v>2820</v>
      </c>
      <c r="KW50" s="548">
        <f>SUM(KY39:KY46)</f>
        <v>355.47</v>
      </c>
      <c r="KX50" s="536" t="s">
        <v>1406</v>
      </c>
      <c r="KY50" s="537">
        <f>KU26+KW52-LA25</f>
        <v>210</v>
      </c>
      <c r="LD50" s="616" t="s">
        <v>3111</v>
      </c>
      <c r="LE50" s="616">
        <v>6.3</v>
      </c>
      <c r="LJ50" s="671" t="s">
        <v>3195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1570</v>
      </c>
      <c r="DO51" s="285"/>
      <c r="DP51" s="494">
        <v>12.7</v>
      </c>
      <c r="DQ51" s="204"/>
      <c r="DS51" s="217" t="s">
        <v>1566</v>
      </c>
      <c r="DT51" s="274">
        <v>590</v>
      </c>
      <c r="FL51" s="340" t="s">
        <v>1034</v>
      </c>
      <c r="FP51" s="325" t="s">
        <v>1896</v>
      </c>
      <c r="FQ51" s="325"/>
      <c r="GB51" s="340" t="s">
        <v>1422</v>
      </c>
      <c r="GC51" s="340">
        <v>100</v>
      </c>
      <c r="GN51" s="552" t="s">
        <v>1992</v>
      </c>
      <c r="GO51" s="204">
        <f>360+18</f>
        <v>378</v>
      </c>
      <c r="GP51" s="265" t="s">
        <v>1301</v>
      </c>
      <c r="GT51" s="552" t="s">
        <v>2040</v>
      </c>
      <c r="GU51" s="204">
        <v>55.29</v>
      </c>
      <c r="GV51" s="779"/>
      <c r="GZ51" s="340" t="s">
        <v>2044</v>
      </c>
      <c r="HA51" s="204">
        <v>50.000999999999998</v>
      </c>
      <c r="HX51" s="356" t="s">
        <v>2248</v>
      </c>
      <c r="HY51" s="340">
        <v>17.88</v>
      </c>
      <c r="ID51" s="507" t="s">
        <v>2300</v>
      </c>
      <c r="IE51" s="340">
        <v>26.8</v>
      </c>
      <c r="IJ51" s="540">
        <v>10</v>
      </c>
      <c r="IK51" s="218" t="s">
        <v>2340</v>
      </c>
      <c r="IP51" s="325" t="s">
        <v>2387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2666</v>
      </c>
      <c r="JO51" s="308">
        <v>3</v>
      </c>
      <c r="JT51" s="573" t="s">
        <v>2701</v>
      </c>
      <c r="JU51" s="411"/>
      <c r="JZ51" s="540">
        <v>25</v>
      </c>
      <c r="KA51" s="545" t="s">
        <v>2724</v>
      </c>
      <c r="KL51" s="559" t="s">
        <v>2929</v>
      </c>
      <c r="KM51" s="453">
        <v>1746</v>
      </c>
      <c r="KR51" s="559" t="s">
        <v>3024</v>
      </c>
      <c r="KS51" s="488">
        <v>19.07</v>
      </c>
      <c r="KX51" s="540">
        <v>20</v>
      </c>
      <c r="KY51" s="553" t="s">
        <v>3043</v>
      </c>
      <c r="LD51" s="559" t="s">
        <v>3110</v>
      </c>
      <c r="LE51" s="488">
        <v>6.8</v>
      </c>
      <c r="LJ51" s="559" t="s">
        <v>3161</v>
      </c>
      <c r="LK51" s="488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1419</v>
      </c>
      <c r="DH52" s="261">
        <v>120</v>
      </c>
      <c r="DI52" s="325" t="s">
        <v>1034</v>
      </c>
      <c r="DK52" s="204"/>
      <c r="DM52" s="217" t="s">
        <v>1422</v>
      </c>
      <c r="DN52" s="274">
        <v>50</v>
      </c>
      <c r="DO52" s="285"/>
      <c r="DP52" s="494">
        <v>11.6</v>
      </c>
      <c r="DQ52" s="204"/>
      <c r="DS52" s="217" t="s">
        <v>1584</v>
      </c>
      <c r="FF52" s="265"/>
      <c r="FP52" s="552" t="s">
        <v>1830</v>
      </c>
      <c r="FQ52" s="204">
        <v>29.95</v>
      </c>
      <c r="GN52" s="552" t="s">
        <v>1999</v>
      </c>
      <c r="GO52" s="340">
        <v>38.9</v>
      </c>
      <c r="GU52" s="204"/>
      <c r="GV52" s="779"/>
      <c r="HF52" s="285"/>
      <c r="HX52" s="356" t="s">
        <v>2249</v>
      </c>
      <c r="HY52" s="340">
        <v>23.86</v>
      </c>
      <c r="IJ52" s="325" t="s">
        <v>2336</v>
      </c>
      <c r="IK52" s="332">
        <f>161+14</f>
        <v>175</v>
      </c>
      <c r="IP52" s="325" t="s">
        <v>2393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1305</v>
      </c>
      <c r="KV52" s="309" t="s">
        <v>3064</v>
      </c>
      <c r="KW52" s="558">
        <v>200</v>
      </c>
      <c r="KX52" s="540">
        <v>10</v>
      </c>
      <c r="KY52" s="545" t="s">
        <v>3045</v>
      </c>
      <c r="LD52" s="616" t="s">
        <v>3126</v>
      </c>
      <c r="LE52" s="616">
        <f>53.6+6.5</f>
        <v>60.1</v>
      </c>
      <c r="LJ52" s="647" t="s">
        <v>3160</v>
      </c>
      <c r="LK52" s="202">
        <v>680</v>
      </c>
      <c r="LQ52" s="678"/>
      <c r="LZ52" s="202"/>
    </row>
    <row r="53" spans="41:338">
      <c r="DA53" s="204"/>
      <c r="DB53" s="204"/>
      <c r="DC53" s="285"/>
      <c r="DD53" s="286"/>
      <c r="DG53" s="204" t="s">
        <v>1436</v>
      </c>
      <c r="DH53" s="261">
        <v>143.96</v>
      </c>
      <c r="DK53" s="204"/>
      <c r="DO53" s="285"/>
      <c r="DP53" s="494">
        <v>2</v>
      </c>
      <c r="DQ53" s="204"/>
      <c r="DS53" s="217" t="s">
        <v>1422</v>
      </c>
      <c r="DT53" s="274">
        <v>80</v>
      </c>
      <c r="FP53" s="552" t="s">
        <v>1844</v>
      </c>
      <c r="FQ53" s="204">
        <v>120</v>
      </c>
      <c r="GN53" s="552" t="s">
        <v>2002</v>
      </c>
      <c r="GO53" s="204">
        <v>33</v>
      </c>
      <c r="GT53" s="340" t="s">
        <v>2045</v>
      </c>
      <c r="GU53" s="574">
        <v>900</v>
      </c>
      <c r="HB53" s="285"/>
      <c r="HC53" s="285"/>
      <c r="HD53" s="285"/>
      <c r="HE53" s="285"/>
      <c r="HF53" s="285"/>
      <c r="HX53" s="356" t="s">
        <v>2247</v>
      </c>
      <c r="HY53" s="340">
        <v>19.89</v>
      </c>
      <c r="ID53" s="567" t="s">
        <v>2256</v>
      </c>
      <c r="IE53" s="567"/>
      <c r="II53" s="484"/>
      <c r="IJ53" s="325" t="s">
        <v>2353</v>
      </c>
      <c r="IK53" s="332">
        <v>87.8</v>
      </c>
      <c r="IP53" s="500" t="s">
        <v>2416</v>
      </c>
      <c r="IQ53" s="335">
        <v>84.9</v>
      </c>
      <c r="IV53" s="507"/>
      <c r="JB53" s="337"/>
      <c r="JC53" s="308"/>
      <c r="JH53" s="507"/>
      <c r="JI53" s="337"/>
      <c r="JX53" s="309" t="s">
        <v>2781</v>
      </c>
      <c r="JY53" s="534">
        <v>200</v>
      </c>
      <c r="JZ53" s="575">
        <v>20</v>
      </c>
      <c r="KA53" s="576" t="s">
        <v>2729</v>
      </c>
      <c r="KL53" s="559"/>
      <c r="KM53" s="488"/>
      <c r="KX53" s="540">
        <v>10</v>
      </c>
      <c r="KY53" s="545" t="s">
        <v>1822</v>
      </c>
      <c r="LD53" s="616" t="s">
        <v>3141</v>
      </c>
      <c r="LE53" s="616">
        <v>70</v>
      </c>
      <c r="LJ53" s="665" t="s">
        <v>3162</v>
      </c>
      <c r="LK53" s="488">
        <v>262</v>
      </c>
      <c r="LZ53" s="202"/>
    </row>
    <row r="54" spans="41:338">
      <c r="DA54" s="204"/>
      <c r="DB54" s="204"/>
      <c r="DC54" s="285"/>
      <c r="DD54" s="286"/>
      <c r="DG54" s="217" t="s">
        <v>1416</v>
      </c>
      <c r="DH54" s="274">
        <v>51</v>
      </c>
      <c r="DK54" s="204"/>
      <c r="DO54" s="285"/>
      <c r="DP54" s="494">
        <v>28.8</v>
      </c>
      <c r="DQ54" s="204"/>
      <c r="FP54" s="552" t="s">
        <v>1854</v>
      </c>
      <c r="FQ54" s="204">
        <v>108.12</v>
      </c>
      <c r="GO54" s="204"/>
      <c r="GT54" s="574" t="s">
        <v>2042</v>
      </c>
      <c r="HB54" s="285"/>
      <c r="HC54" s="285"/>
      <c r="HD54" s="577"/>
      <c r="HE54" s="285"/>
      <c r="HF54" s="285"/>
      <c r="HX54" s="356" t="s">
        <v>2236</v>
      </c>
      <c r="HY54" s="340">
        <f>30.9+469.82+100.14+34.91</f>
        <v>635.77</v>
      </c>
      <c r="ID54" s="213" t="s">
        <v>2255</v>
      </c>
      <c r="IE54" s="340">
        <f>30+139.5</f>
        <v>169.5</v>
      </c>
      <c r="II54" s="484"/>
      <c r="IJ54" s="325" t="s">
        <v>2362</v>
      </c>
      <c r="IK54" s="332">
        <f>40.6+11.5</f>
        <v>52.1</v>
      </c>
      <c r="IP54" s="507" t="s">
        <v>2417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2758</v>
      </c>
      <c r="KS54" s="204"/>
      <c r="KW54" s="285"/>
      <c r="KX54" s="540">
        <v>40</v>
      </c>
      <c r="KY54" s="545" t="s">
        <v>3091</v>
      </c>
      <c r="LE54" s="617"/>
      <c r="LJ54" s="647" t="s">
        <v>3166</v>
      </c>
      <c r="LK54" s="647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1414</v>
      </c>
      <c r="DH55" s="274">
        <f>500+356</f>
        <v>856</v>
      </c>
      <c r="DI55" s="265" t="s">
        <v>1301</v>
      </c>
      <c r="DK55" s="204"/>
      <c r="DO55" s="285"/>
      <c r="DP55" s="494">
        <v>25.5</v>
      </c>
      <c r="DQ55" s="204"/>
      <c r="FL55" s="265"/>
      <c r="GN55" s="340" t="s">
        <v>1566</v>
      </c>
      <c r="GO55" s="340">
        <v>800</v>
      </c>
      <c r="GT55" s="340" t="s">
        <v>2044</v>
      </c>
      <c r="GU55" s="204">
        <v>44</v>
      </c>
      <c r="HB55" s="285"/>
      <c r="HC55" s="285"/>
      <c r="HD55" s="577"/>
      <c r="HE55" s="285"/>
      <c r="HF55" s="285"/>
      <c r="HX55" s="340" t="s">
        <v>2210</v>
      </c>
      <c r="HY55" s="340">
        <v>7329.5</v>
      </c>
      <c r="ID55" s="213" t="s">
        <v>2269</v>
      </c>
      <c r="IE55" s="340">
        <v>15.32</v>
      </c>
      <c r="II55" s="555"/>
      <c r="IJ55" s="325" t="s">
        <v>2378</v>
      </c>
      <c r="IK55" s="332">
        <v>10.49</v>
      </c>
      <c r="IP55" s="507" t="s">
        <v>2420</v>
      </c>
      <c r="IQ55" s="335"/>
      <c r="IV55" s="507"/>
      <c r="JB55" s="500"/>
      <c r="JC55" s="337"/>
      <c r="JH55" s="507"/>
      <c r="JZ55" s="540">
        <v>80</v>
      </c>
      <c r="KA55" s="545" t="s">
        <v>2760</v>
      </c>
      <c r="KW55" s="285"/>
      <c r="KX55" s="540">
        <v>20</v>
      </c>
      <c r="KY55" s="545" t="s">
        <v>3076</v>
      </c>
      <c r="LJ55" s="672" t="s">
        <v>3199</v>
      </c>
      <c r="LK55" s="673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8"/>
      <c r="DD56" s="579"/>
      <c r="DE56" s="204"/>
      <c r="DG56" s="204" t="s">
        <v>1420</v>
      </c>
      <c r="DH56" s="274">
        <v>30</v>
      </c>
      <c r="DK56" s="204"/>
      <c r="DO56" s="285" t="s">
        <v>1567</v>
      </c>
      <c r="DP56" s="494">
        <v>-1122.52</v>
      </c>
      <c r="DQ56" s="204"/>
      <c r="FP56" s="340" t="s">
        <v>1566</v>
      </c>
      <c r="FQ56" s="285">
        <v>753.05</v>
      </c>
      <c r="GN56" s="340" t="s">
        <v>2009</v>
      </c>
      <c r="GO56" s="285"/>
      <c r="HB56" s="285"/>
      <c r="HC56" s="285"/>
      <c r="HD56" s="577"/>
      <c r="HE56" s="285"/>
      <c r="HF56" s="285"/>
      <c r="HX56" s="507"/>
      <c r="ID56" s="355" t="s">
        <v>2270</v>
      </c>
      <c r="IE56" s="486">
        <v>67.61</v>
      </c>
      <c r="IJ56" s="325" t="s">
        <v>2236</v>
      </c>
      <c r="IK56" s="332">
        <v>135.09</v>
      </c>
      <c r="IP56" s="507" t="s">
        <v>2411</v>
      </c>
      <c r="IQ56" s="335">
        <v>47.05</v>
      </c>
      <c r="JB56" s="337"/>
      <c r="JC56" s="467"/>
      <c r="JH56" s="507"/>
      <c r="JZ56" s="540">
        <v>6</v>
      </c>
      <c r="KA56" s="545" t="s">
        <v>2759</v>
      </c>
      <c r="KM56" s="204"/>
      <c r="KX56" s="540">
        <v>10</v>
      </c>
      <c r="KY56" s="545" t="s">
        <v>3075</v>
      </c>
      <c r="LZ56" s="202"/>
    </row>
    <row r="57" spans="41:338">
      <c r="DA57" s="204"/>
      <c r="DB57" s="204"/>
      <c r="DC57" s="285"/>
      <c r="DD57" s="286"/>
      <c r="DE57" s="204"/>
      <c r="DG57" s="217" t="s">
        <v>1411</v>
      </c>
      <c r="DH57" s="274">
        <v>30</v>
      </c>
      <c r="DK57" s="204"/>
      <c r="DO57" s="285" t="s">
        <v>1568</v>
      </c>
      <c r="DP57" s="494">
        <f>SUM(DP44:DP56)</f>
        <v>1647.79</v>
      </c>
      <c r="DQ57" s="204"/>
      <c r="FP57" s="340" t="s">
        <v>1855</v>
      </c>
      <c r="FQ57" s="204"/>
      <c r="GN57" s="340" t="s">
        <v>1422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2278</v>
      </c>
      <c r="IE57" s="320">
        <v>-25.98</v>
      </c>
      <c r="IJ57" s="567" t="s">
        <v>2360</v>
      </c>
      <c r="IK57" s="567"/>
      <c r="IP57" s="507" t="s">
        <v>2438</v>
      </c>
      <c r="IQ57" s="339">
        <v>22.2</v>
      </c>
      <c r="JB57" s="507"/>
      <c r="JC57" s="338"/>
      <c r="JZ57" s="540">
        <v>50</v>
      </c>
      <c r="KA57" s="545" t="s">
        <v>1822</v>
      </c>
      <c r="KX57" s="540">
        <v>10</v>
      </c>
      <c r="KY57" s="545" t="s">
        <v>3066</v>
      </c>
      <c r="LZ57" s="202"/>
    </row>
    <row r="58" spans="41:338">
      <c r="DA58" s="204"/>
      <c r="DB58" s="204"/>
      <c r="DC58" s="285"/>
      <c r="DD58" s="286"/>
      <c r="DE58" s="204"/>
      <c r="DG58" s="217" t="s">
        <v>1441</v>
      </c>
      <c r="DH58" s="274">
        <v>58.2</v>
      </c>
      <c r="DK58" s="204"/>
      <c r="DQ58" s="204"/>
      <c r="FP58" s="340" t="s">
        <v>1422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2296</v>
      </c>
      <c r="IE58" s="340">
        <v>8.8000000000000007</v>
      </c>
      <c r="IJ58" s="507" t="s">
        <v>2314</v>
      </c>
      <c r="IK58" s="340">
        <v>150</v>
      </c>
      <c r="IP58" s="337" t="s">
        <v>2441</v>
      </c>
      <c r="IQ58" s="308">
        <v>22.6</v>
      </c>
      <c r="JB58" s="507"/>
      <c r="JC58" s="337"/>
      <c r="JZ58" s="340" t="s">
        <v>2763</v>
      </c>
      <c r="KA58" s="340">
        <v>31.001000000000001</v>
      </c>
      <c r="KX58" s="540">
        <v>8</v>
      </c>
      <c r="KY58" s="545" t="s">
        <v>3072</v>
      </c>
      <c r="LZ58" s="202"/>
    </row>
    <row r="59" spans="41:338">
      <c r="DA59" s="204"/>
      <c r="DB59" s="204"/>
      <c r="DC59" s="285"/>
      <c r="DD59" s="579"/>
      <c r="DE59" s="204"/>
      <c r="DG59" s="217" t="s">
        <v>1408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2310</v>
      </c>
      <c r="IE59" s="340">
        <f>2000+1311.79</f>
        <v>3311.79</v>
      </c>
      <c r="IJ59" s="507" t="s">
        <v>2296</v>
      </c>
      <c r="IK59" s="340">
        <v>5.4</v>
      </c>
      <c r="IP59" s="337"/>
      <c r="IQ59" s="337"/>
      <c r="JB59" s="507"/>
      <c r="JC59" s="337"/>
      <c r="JW59" s="398"/>
      <c r="JZ59" s="340" t="s">
        <v>2865</v>
      </c>
      <c r="KA59" s="441">
        <f>30/5.217</f>
        <v>5.7504312823461765</v>
      </c>
      <c r="KC59" s="398"/>
      <c r="KX59" s="540">
        <v>10</v>
      </c>
      <c r="KY59" s="545" t="s">
        <v>3073</v>
      </c>
      <c r="LG59" s="398"/>
      <c r="LZ59" s="202"/>
    </row>
    <row r="60" spans="41:338">
      <c r="DA60" s="204"/>
      <c r="DB60" s="204"/>
      <c r="DC60" s="285"/>
      <c r="DD60" s="286"/>
      <c r="DE60" s="204"/>
      <c r="DG60" s="217" t="s">
        <v>1428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2761</v>
      </c>
      <c r="KA60" s="340">
        <v>21.81</v>
      </c>
      <c r="KX60" s="540">
        <v>40</v>
      </c>
      <c r="KY60" s="545" t="s">
        <v>3079</v>
      </c>
      <c r="LZ60" s="202"/>
    </row>
    <row r="61" spans="41:338">
      <c r="DA61" s="204"/>
      <c r="DB61" s="204"/>
      <c r="DC61" s="285"/>
      <c r="DD61" s="286"/>
      <c r="DE61" s="204"/>
      <c r="DG61" s="217" t="s">
        <v>1429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2795</v>
      </c>
      <c r="KA61" s="340">
        <v>11.25</v>
      </c>
      <c r="KX61" s="559" t="s">
        <v>3056</v>
      </c>
      <c r="KY61" s="488">
        <v>14.4</v>
      </c>
      <c r="LA61" s="398"/>
      <c r="LZ61" s="202"/>
    </row>
    <row r="62" spans="41:338">
      <c r="DE62" s="204"/>
      <c r="DG62" s="217" t="s">
        <v>1474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2722</v>
      </c>
      <c r="KA62" s="340">
        <v>117.5</v>
      </c>
      <c r="KU62" s="398"/>
      <c r="LM62" s="398"/>
      <c r="LZ62" s="202"/>
    </row>
    <row r="63" spans="41:338">
      <c r="DE63" s="204"/>
      <c r="DG63" s="217" t="s">
        <v>1467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2749</v>
      </c>
      <c r="KA63" s="340">
        <v>36.200000000000003</v>
      </c>
      <c r="KX63" s="559"/>
      <c r="KY63" s="488"/>
      <c r="LS63" s="398"/>
      <c r="LY63" s="398"/>
      <c r="LZ63" s="202"/>
    </row>
    <row r="64" spans="41:338">
      <c r="DG64" s="217" t="s">
        <v>1164</v>
      </c>
      <c r="DH64" s="274">
        <v>1500</v>
      </c>
      <c r="ID64" s="507"/>
      <c r="IP64" s="507"/>
      <c r="IQ64" s="337"/>
      <c r="IY64" s="398"/>
      <c r="JE64" s="398"/>
      <c r="JZ64" s="285" t="s">
        <v>2743</v>
      </c>
      <c r="KA64" s="340">
        <v>9.8000000000000007</v>
      </c>
      <c r="LZ64" s="202"/>
    </row>
    <row r="65" spans="205:338">
      <c r="IP65" s="507"/>
      <c r="JK65" s="398"/>
      <c r="JQ65" s="398"/>
      <c r="JZ65" s="340" t="s">
        <v>2778</v>
      </c>
      <c r="KA65" s="340">
        <v>9.77</v>
      </c>
      <c r="LZ65" s="202"/>
    </row>
    <row r="66" spans="205:338">
      <c r="IJ66" s="500"/>
      <c r="IK66" s="486"/>
      <c r="IP66" s="507"/>
      <c r="JZ66" s="340" t="s">
        <v>2777</v>
      </c>
      <c r="KA66" s="340">
        <v>11.9</v>
      </c>
      <c r="KY66" s="204"/>
      <c r="LZ66" s="202"/>
    </row>
    <row r="67" spans="205:338">
      <c r="IK67" s="320"/>
      <c r="IM67" s="398"/>
      <c r="IP67" s="507"/>
      <c r="IS67" s="398"/>
      <c r="JZ67" s="340" t="s">
        <v>2779</v>
      </c>
      <c r="KA67" s="340">
        <v>6.62</v>
      </c>
      <c r="KI67" s="398"/>
      <c r="KO67" s="398"/>
      <c r="LZ67" s="202"/>
    </row>
    <row r="68" spans="205:338">
      <c r="IJ68" s="507"/>
      <c r="IP68" s="507"/>
      <c r="JY68" s="340" t="s">
        <v>2715</v>
      </c>
      <c r="JZ68" s="220" t="s">
        <v>2730</v>
      </c>
      <c r="KA68" s="340">
        <v>69</v>
      </c>
    </row>
    <row r="69" spans="205:338">
      <c r="HO69" s="398"/>
      <c r="IG69" s="398"/>
      <c r="IJ69" s="507"/>
      <c r="JZ69" s="220" t="s">
        <v>2750</v>
      </c>
      <c r="KA69" s="340">
        <v>8</v>
      </c>
    </row>
    <row r="70" spans="205:338">
      <c r="IJ70" s="507"/>
      <c r="JZ70" s="581" t="s">
        <v>2794</v>
      </c>
      <c r="KA70" s="204">
        <v>29.7</v>
      </c>
    </row>
    <row r="71" spans="205:338">
      <c r="IJ71" s="507"/>
      <c r="JZ71" s="220" t="s">
        <v>2762</v>
      </c>
      <c r="KA71" s="340">
        <v>8.1999999999999993</v>
      </c>
    </row>
    <row r="72" spans="205:338">
      <c r="IJ72" s="507"/>
    </row>
    <row r="73" spans="205:338">
      <c r="IJ73" s="507"/>
    </row>
    <row r="74" spans="205:338">
      <c r="HI74" s="398"/>
    </row>
    <row r="76" spans="205:338">
      <c r="GW76" s="398"/>
    </row>
    <row r="77" spans="205:338">
      <c r="HU77" s="398"/>
    </row>
    <row r="78" spans="205:338">
      <c r="HC78" s="398"/>
    </row>
    <row r="79" spans="205:338">
      <c r="IA79" s="398"/>
    </row>
  </sheetData>
  <mergeCells count="264"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0" customFormat="1">
      <c r="B10" s="449">
        <v>5000</v>
      </c>
      <c r="C10" s="450">
        <v>45468</v>
      </c>
    </row>
    <row r="11" spans="2:3" s="668" customFormat="1">
      <c r="B11" s="449">
        <v>5000</v>
      </c>
      <c r="C11" s="450">
        <v>45482</v>
      </c>
    </row>
    <row r="12" spans="2:3" s="668" customFormat="1">
      <c r="B12" s="449">
        <v>5000</v>
      </c>
      <c r="C12" s="450">
        <v>45496</v>
      </c>
    </row>
    <row r="13" spans="2:3" s="668" customFormat="1">
      <c r="B13" s="449">
        <v>5000</v>
      </c>
      <c r="C13" s="450">
        <v>45524</v>
      </c>
    </row>
    <row r="14" spans="2:3" s="668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2024-02-28T15:22:11Z</dcterms:modified>
</cp:coreProperties>
</file>